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1.xml" ContentType="application/vnd.openxmlformats-officedocument.drawing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FIT Training Programme\Excel\"/>
    </mc:Choice>
  </mc:AlternateContent>
  <xr:revisionPtr revIDLastSave="0" documentId="13_ncr:1_{9C535384-755E-4E92-9C62-4FA007577008}" xr6:coauthVersionLast="47" xr6:coauthVersionMax="47" xr10:uidLastSave="{00000000-0000-0000-0000-000000000000}"/>
  <bookViews>
    <workbookView xWindow="-98" yWindow="-98" windowWidth="19396" windowHeight="11475" activeTab="7" xr2:uid="{79118E42-A48E-4B19-93DF-D7A328DA6378}"/>
  </bookViews>
  <sheets>
    <sheet name="Jan2025" sheetId="1" r:id="rId1"/>
    <sheet name="Feb2025" sheetId="2" r:id="rId2"/>
    <sheet name="Mar2025" sheetId="3" r:id="rId3"/>
    <sheet name="Apr2025" sheetId="6" r:id="rId4"/>
    <sheet name="Products" sheetId="5" r:id="rId5"/>
    <sheet name="Summary" sheetId="4" r:id="rId6"/>
    <sheet name="Customers" sheetId="8" r:id="rId7"/>
    <sheet name="Invoice" sheetId="9" r:id="rId8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9" l="1"/>
  <c r="E18" i="9" s="1"/>
  <c r="E19" i="9"/>
  <c r="E21" i="9"/>
  <c r="E22" i="9"/>
  <c r="E23" i="9"/>
  <c r="E24" i="9"/>
  <c r="E25" i="9"/>
  <c r="C19" i="9"/>
  <c r="C20" i="9"/>
  <c r="E20" i="9" s="1"/>
  <c r="C21" i="9"/>
  <c r="C22" i="9"/>
  <c r="C23" i="9"/>
  <c r="C24" i="9"/>
  <c r="C25" i="9"/>
  <c r="B9" i="4"/>
  <c r="F9" i="4"/>
  <c r="B10" i="4"/>
  <c r="F10" i="4" s="1"/>
  <c r="B11" i="4"/>
  <c r="F11" i="4" s="1"/>
  <c r="B12" i="4"/>
  <c r="F12" i="4" s="1"/>
  <c r="B11" i="9"/>
  <c r="B14" i="9"/>
  <c r="B13" i="9"/>
  <c r="B12" i="9"/>
  <c r="C9" i="4"/>
  <c r="E2" i="5"/>
  <c r="E3" i="5"/>
  <c r="H3" i="5" s="1"/>
  <c r="E4" i="5"/>
  <c r="H4" i="5" s="1"/>
  <c r="E5" i="5"/>
  <c r="H5" i="5" s="1"/>
  <c r="E6" i="5"/>
  <c r="H6" i="5"/>
  <c r="H2" i="5"/>
  <c r="C2" i="5"/>
  <c r="C12" i="4"/>
  <c r="D12" i="4"/>
  <c r="C11" i="4"/>
  <c r="D11" i="4"/>
  <c r="D9" i="4"/>
  <c r="D10" i="4"/>
  <c r="C10" i="4"/>
  <c r="C3" i="5"/>
  <c r="C4" i="5"/>
  <c r="C5" i="5"/>
  <c r="C6" i="5"/>
  <c r="L3" i="1"/>
  <c r="L4" i="1"/>
  <c r="L5" i="1"/>
  <c r="L6" i="1"/>
  <c r="L7" i="1"/>
  <c r="I6" i="3"/>
  <c r="J6" i="3" s="1"/>
  <c r="I5" i="3"/>
  <c r="J5" i="3" s="1"/>
  <c r="I4" i="3"/>
  <c r="J4" i="3" s="1"/>
  <c r="I3" i="3"/>
  <c r="J3" i="3" s="1"/>
  <c r="I2" i="3"/>
  <c r="J2" i="3" s="1"/>
  <c r="I7" i="1"/>
  <c r="J7" i="1" s="1"/>
  <c r="I6" i="1"/>
  <c r="J6" i="1" s="1"/>
  <c r="I5" i="1"/>
  <c r="J5" i="1" s="1"/>
  <c r="I4" i="1"/>
  <c r="J4" i="1" s="1"/>
  <c r="I3" i="1"/>
  <c r="J3" i="1" s="1"/>
  <c r="I6" i="2"/>
  <c r="J6" i="2" s="1"/>
  <c r="I7" i="2"/>
  <c r="J7" i="2" s="1"/>
  <c r="I5" i="2"/>
  <c r="J5" i="2" s="1"/>
  <c r="I4" i="2"/>
  <c r="J4" i="2" s="1"/>
  <c r="I3" i="2"/>
  <c r="J3" i="2" s="1"/>
  <c r="E27" i="9" l="1"/>
  <c r="E30" i="9" s="1"/>
  <c r="K3" i="1"/>
  <c r="K7" i="1"/>
  <c r="K6" i="1"/>
  <c r="K5" i="1"/>
  <c r="K4" i="1"/>
  <c r="B4" i="4"/>
  <c r="B3" i="4"/>
  <c r="B2" i="4"/>
  <c r="D4" i="4"/>
  <c r="D6" i="4"/>
  <c r="D5" i="4"/>
  <c r="D3" i="4"/>
  <c r="C6" i="4"/>
  <c r="C3" i="4"/>
  <c r="E3" i="4"/>
  <c r="C5" i="4"/>
  <c r="C4" i="4"/>
  <c r="C2" i="4"/>
  <c r="B6" i="4"/>
  <c r="B5" i="4"/>
  <c r="D2" i="4"/>
  <c r="E2" i="4" s="1"/>
  <c r="E6" i="4" l="1"/>
  <c r="E5" i="4"/>
  <c r="E4" i="4"/>
</calcChain>
</file>

<file path=xl/sharedStrings.xml><?xml version="1.0" encoding="utf-8"?>
<sst xmlns="http://schemas.openxmlformats.org/spreadsheetml/2006/main" count="379" uniqueCount="311">
  <si>
    <t>Apples</t>
  </si>
  <si>
    <t>Oranges</t>
  </si>
  <si>
    <t>Bananas</t>
  </si>
  <si>
    <t>Pear</t>
  </si>
  <si>
    <t>Kiwi</t>
  </si>
  <si>
    <t>Fruit</t>
  </si>
  <si>
    <t>Monday</t>
  </si>
  <si>
    <t>Tuesday</t>
  </si>
  <si>
    <t>Wednesday</t>
  </si>
  <si>
    <t>Thursday</t>
  </si>
  <si>
    <t>Friday</t>
  </si>
  <si>
    <t>Sales</t>
  </si>
  <si>
    <t>Total</t>
  </si>
  <si>
    <t>Average</t>
  </si>
  <si>
    <t>Jan</t>
  </si>
  <si>
    <t>Feb</t>
  </si>
  <si>
    <t>Mar</t>
  </si>
  <si>
    <t>Price</t>
  </si>
  <si>
    <t>Weekly Income</t>
  </si>
  <si>
    <t>StdDev(P)</t>
  </si>
  <si>
    <t>Item</t>
  </si>
  <si>
    <t>Kiwis</t>
  </si>
  <si>
    <t>Pears</t>
  </si>
  <si>
    <t>Case_Size</t>
  </si>
  <si>
    <t>Origin</t>
  </si>
  <si>
    <t>Spain</t>
  </si>
  <si>
    <t>China</t>
  </si>
  <si>
    <t>France</t>
  </si>
  <si>
    <t>Libya</t>
  </si>
  <si>
    <t>Greece</t>
  </si>
  <si>
    <t>Product</t>
  </si>
  <si>
    <t>Cost</t>
  </si>
  <si>
    <t>Origins</t>
  </si>
  <si>
    <t>Cost_per_item</t>
  </si>
  <si>
    <t>Cost_per_case</t>
  </si>
  <si>
    <t>Profit_margin</t>
  </si>
  <si>
    <t>Price_per_item</t>
  </si>
  <si>
    <t>Profit_per_case</t>
  </si>
  <si>
    <t>OrderQty</t>
  </si>
  <si>
    <t>SubTotal</t>
  </si>
  <si>
    <t>No</t>
  </si>
  <si>
    <t>Name</t>
  </si>
  <si>
    <t>Company</t>
  </si>
  <si>
    <t>Address</t>
  </si>
  <si>
    <t>City</t>
  </si>
  <si>
    <t>Post_Code</t>
  </si>
  <si>
    <t>Tel</t>
  </si>
  <si>
    <t>Lenore Baxter</t>
  </si>
  <si>
    <t>Fermentum Arcu LLC</t>
  </si>
  <si>
    <t>Ap #381-7215 Justo. St.</t>
  </si>
  <si>
    <t>(560) 946-5631</t>
  </si>
  <si>
    <t>Quon White</t>
  </si>
  <si>
    <t>Nascetur Ridiculus LLC</t>
  </si>
  <si>
    <t>P.O. Box 420, 4154 Auctor Road</t>
  </si>
  <si>
    <t>1-612-913-5603</t>
  </si>
  <si>
    <t>Mariam Butler</t>
  </si>
  <si>
    <t>Scelerisque PC</t>
  </si>
  <si>
    <t>809-9202 Semper, St.</t>
  </si>
  <si>
    <t>(133) 843-7176</t>
  </si>
  <si>
    <t>Medge Russell</t>
  </si>
  <si>
    <t>Eleifend Nec Malesuada Ltd</t>
  </si>
  <si>
    <t>9947 Aliquam Rd.</t>
  </si>
  <si>
    <t>(432) 218-8808</t>
  </si>
  <si>
    <t>Sandra Burnett</t>
  </si>
  <si>
    <t>Et Nunc Quisque Corporation</t>
  </si>
  <si>
    <t>Ap #732-5885 Tempor Street</t>
  </si>
  <si>
    <t>(496) 236-3332</t>
  </si>
  <si>
    <t>Jolene Simmons</t>
  </si>
  <si>
    <t>Viverra Donec Corp.</t>
  </si>
  <si>
    <t>922 Ultrices Av.</t>
  </si>
  <si>
    <t>(281) 571-4673</t>
  </si>
  <si>
    <t>Madonna Espinoza</t>
  </si>
  <si>
    <t>Mauris Limited</t>
  </si>
  <si>
    <t>P.O. Box 872, 5092 Pharetra Road</t>
  </si>
  <si>
    <t>(546) 294-8766</t>
  </si>
  <si>
    <t>Dillon Fitzpatrick</t>
  </si>
  <si>
    <t>Commodo Limited</t>
  </si>
  <si>
    <t>330-8871 Donec Road</t>
  </si>
  <si>
    <t>1-824-278-4536</t>
  </si>
  <si>
    <t>Phoebe Stewart</t>
  </si>
  <si>
    <t>Semper Pretium Neque Ltd</t>
  </si>
  <si>
    <t>Ap #541-6483 Sed St.</t>
  </si>
  <si>
    <t>1-562-284-2591</t>
  </si>
  <si>
    <t>Basia Bullock</t>
  </si>
  <si>
    <t>Et LLP</t>
  </si>
  <si>
    <t>P.O. Box 274, 5185 Imperdiet Rd.</t>
  </si>
  <si>
    <t>1-377-743-5858</t>
  </si>
  <si>
    <t>Jayme Farrell</t>
  </si>
  <si>
    <t>Dui Ltd</t>
  </si>
  <si>
    <t>Ap #901-2276 Orci. St.</t>
  </si>
  <si>
    <t>1-136-162-8786</t>
  </si>
  <si>
    <t>Hope Cote</t>
  </si>
  <si>
    <t>Purus Accumsan Incorporated</t>
  </si>
  <si>
    <t>P.O. Box 599, 9737 Libero. Road</t>
  </si>
  <si>
    <t>(606) 234-3794</t>
  </si>
  <si>
    <t>Aladdin Douglas</t>
  </si>
  <si>
    <t>Dui Semper Et Limited</t>
  </si>
  <si>
    <t>292-9848 Auctor Avenue</t>
  </si>
  <si>
    <t>(169) 706-1296</t>
  </si>
  <si>
    <t>Sacha Garcia</t>
  </si>
  <si>
    <t>Tellus Eu LLP</t>
  </si>
  <si>
    <t>P.O. Box 373, 8055 Metus Ave</t>
  </si>
  <si>
    <t>(635) 434-2028</t>
  </si>
  <si>
    <t>Sylvia Mccoy</t>
  </si>
  <si>
    <t>Sem Ut Cursus Incorporated</t>
  </si>
  <si>
    <t>P.O. Box 263, 7295 Donec Ave</t>
  </si>
  <si>
    <t>21-35</t>
  </si>
  <si>
    <t>(339) 452-9219</t>
  </si>
  <si>
    <t>Bruno Gilliam</t>
  </si>
  <si>
    <t>Vestibulum Limited</t>
  </si>
  <si>
    <t>906-8867 Elit, Rd.</t>
  </si>
  <si>
    <t>1-645-351-9833</t>
  </si>
  <si>
    <t>April Jones</t>
  </si>
  <si>
    <t>Adipiscing Non Consulting</t>
  </si>
  <si>
    <t>8215 Lorem Av.</t>
  </si>
  <si>
    <t>(762) 708-5312</t>
  </si>
  <si>
    <t>Joy Garza</t>
  </si>
  <si>
    <t>Risus Nulla Ltd</t>
  </si>
  <si>
    <t>P.O. Box 504, 6228 Urna Ave</t>
  </si>
  <si>
    <t>(847) 750-1511</t>
  </si>
  <si>
    <t>Haley Acosta</t>
  </si>
  <si>
    <t>Libero Mauris Inc.</t>
  </si>
  <si>
    <t>2531 Vitae Rd.</t>
  </si>
  <si>
    <t>1-108-245-3624</t>
  </si>
  <si>
    <t>Ursula Wilkerson</t>
  </si>
  <si>
    <t>Tristique Ac Eleifend Corporation</t>
  </si>
  <si>
    <t>2042 Risus Avenue</t>
  </si>
  <si>
    <t>1-342-833-2833</t>
  </si>
  <si>
    <t>Paul Barrera</t>
  </si>
  <si>
    <t>Sed Pede Cum Company</t>
  </si>
  <si>
    <t>Ap #890-592 Nulla St.</t>
  </si>
  <si>
    <t>(786) 214-2914</t>
  </si>
  <si>
    <t>Nero Morales</t>
  </si>
  <si>
    <t>Elit Corp.</t>
  </si>
  <si>
    <t>1940 Ullamcorper, St.</t>
  </si>
  <si>
    <t>1-324-418-2732</t>
  </si>
  <si>
    <t>Cameron Everett</t>
  </si>
  <si>
    <t>Amet Orci Company</t>
  </si>
  <si>
    <t>198-5757 Mattis Road</t>
  </si>
  <si>
    <t>1-116-956-5068</t>
  </si>
  <si>
    <t>Bethany Barnett</t>
  </si>
  <si>
    <t>Arcu Vivamus PC</t>
  </si>
  <si>
    <t>P.O. Box 657, 7419 Nonummy. Avenue</t>
  </si>
  <si>
    <t>1-776-483-6661</t>
  </si>
  <si>
    <t>Nelle Contreras</t>
  </si>
  <si>
    <t>Nulla Integer Corp.</t>
  </si>
  <si>
    <t>8377 Nec St.</t>
  </si>
  <si>
    <t>(424) 309-5351</t>
  </si>
  <si>
    <t>Abdul Adkins</t>
  </si>
  <si>
    <t>Phasellus Incorporated</t>
  </si>
  <si>
    <t>775-5600 Vulputate, Av.</t>
  </si>
  <si>
    <t>(163) 602-6883</t>
  </si>
  <si>
    <t>Branden Hayden</t>
  </si>
  <si>
    <t>Egestas Aliquam Foundation</t>
  </si>
  <si>
    <t>867-2747 Sed Ave</t>
  </si>
  <si>
    <t>1-482-913-8134</t>
  </si>
  <si>
    <t>Zephr Glover</t>
  </si>
  <si>
    <t>Lorem Ut Aliquam LLC</t>
  </si>
  <si>
    <t>Ap #895-8523 Rutrum Avenue</t>
  </si>
  <si>
    <t>WC87 4ZI</t>
  </si>
  <si>
    <t>1-838-274-7653</t>
  </si>
  <si>
    <t>Victor Melendez</t>
  </si>
  <si>
    <t>Justo Industries</t>
  </si>
  <si>
    <t>210-3234 Semper Av.</t>
  </si>
  <si>
    <t>68-726</t>
  </si>
  <si>
    <t>(292) 212-4235</t>
  </si>
  <si>
    <t>Moses Wyatt</t>
  </si>
  <si>
    <t>Maecenas Iaculis Corporation</t>
  </si>
  <si>
    <t>Ap #418-6587 Fermentum Ave</t>
  </si>
  <si>
    <t>1-725-655-3031</t>
  </si>
  <si>
    <t>Orson Robbins</t>
  </si>
  <si>
    <t>Sed Nunc LLP</t>
  </si>
  <si>
    <t>Ap #427-7207 Interdum St.</t>
  </si>
  <si>
    <t>(484) 332-3866</t>
  </si>
  <si>
    <t>Herrod Duncan</t>
  </si>
  <si>
    <t>Tristique Ac Company</t>
  </si>
  <si>
    <t>544-1303 Non, Ave</t>
  </si>
  <si>
    <t>1-454-212-6001</t>
  </si>
  <si>
    <t>Hakeem Beach</t>
  </si>
  <si>
    <t>Vitae Purus Foundation</t>
  </si>
  <si>
    <t>Ap #381-2113 Sed Av.</t>
  </si>
  <si>
    <t>1-558-168-2752</t>
  </si>
  <si>
    <t>Rogan Maynard</t>
  </si>
  <si>
    <t>Diam Eu Dolor Corporation</t>
  </si>
  <si>
    <t>P.O. Box 953, 4415 Inceptos Street</t>
  </si>
  <si>
    <t>s7S 4L7</t>
  </si>
  <si>
    <t>1-438-863-5252</t>
  </si>
  <si>
    <t>Deirdre Brewer</t>
  </si>
  <si>
    <t>Magna Sed Eu Consulting</t>
  </si>
  <si>
    <t>P.O. Box 932, 5499 Aliquet St.</t>
  </si>
  <si>
    <t>(285) 637-2361</t>
  </si>
  <si>
    <t>Duncan Tyson</t>
  </si>
  <si>
    <t>Lectus Pede Et LLC</t>
  </si>
  <si>
    <t>5165 Dui, Av.</t>
  </si>
  <si>
    <t>U3B 9K4</t>
  </si>
  <si>
    <t>1-837-471-8951</t>
  </si>
  <si>
    <t>Colt Dorsey</t>
  </si>
  <si>
    <t>Eu Placerat Industries</t>
  </si>
  <si>
    <t>8302 Senectus Rd.</t>
  </si>
  <si>
    <t>1-689-531-5976</t>
  </si>
  <si>
    <t>Unity Myers</t>
  </si>
  <si>
    <t>Consectetuer Adipiscing Elit Company</t>
  </si>
  <si>
    <t>Ap #823-8236 Donec Avenue</t>
  </si>
  <si>
    <t>1-823-782-4132</t>
  </si>
  <si>
    <t>Audrey Washington</t>
  </si>
  <si>
    <t>Urna Nunc Incorporated</t>
  </si>
  <si>
    <t>P.O. Box 848, 1636 Nibh St.</t>
  </si>
  <si>
    <t>(806) 306-3725</t>
  </si>
  <si>
    <t>Dylan Joseph</t>
  </si>
  <si>
    <t>Non Bibendum Sed Company</t>
  </si>
  <si>
    <t>726-6784 Faucibus. Avenue</t>
  </si>
  <si>
    <t>1-258-345-8612</t>
  </si>
  <si>
    <t>Basia Kim</t>
  </si>
  <si>
    <t>Sed Leo Cras Associates</t>
  </si>
  <si>
    <t>Ap #422-7793 Sed Street</t>
  </si>
  <si>
    <t>(925) 541-9068</t>
  </si>
  <si>
    <t>Cassandra Frazier</t>
  </si>
  <si>
    <t>Turpis In Condimentum Limited</t>
  </si>
  <si>
    <t>9669 Luctus Street</t>
  </si>
  <si>
    <t>(382) 144-5640</t>
  </si>
  <si>
    <t>Uriah Bright</t>
  </si>
  <si>
    <t>Vehicula Pellentesque Ltd</t>
  </si>
  <si>
    <t>853 Sem. Avenue</t>
  </si>
  <si>
    <t>1-287-701-4312</t>
  </si>
  <si>
    <t>Tanisha Leonard</t>
  </si>
  <si>
    <t>A Dui LLC</t>
  </si>
  <si>
    <t>Ap #125-7117 Integer Avenue</t>
  </si>
  <si>
    <t>1-124-345-0675</t>
  </si>
  <si>
    <t>Garrison O'Neill</t>
  </si>
  <si>
    <t>Cursus A Foundation</t>
  </si>
  <si>
    <t>7006 Vulputate Road</t>
  </si>
  <si>
    <t>1-506-558-8994</t>
  </si>
  <si>
    <t>Felix Chaney</t>
  </si>
  <si>
    <t>Enim Mi Tempor Corporation</t>
  </si>
  <si>
    <t>4908 Ipsum Street</t>
  </si>
  <si>
    <t>1-467-318-6814</t>
  </si>
  <si>
    <t>Destiny Carlson</t>
  </si>
  <si>
    <t>Enim Foundation</t>
  </si>
  <si>
    <t>Ap #784-987 Semper Av.</t>
  </si>
  <si>
    <t>O2N 7WF</t>
  </si>
  <si>
    <t>1-675-323-6166</t>
  </si>
  <si>
    <t>Maris Chen</t>
  </si>
  <si>
    <t>Quam Inc.</t>
  </si>
  <si>
    <t>Ap #541-4466 Et Street</t>
  </si>
  <si>
    <t>1803-4849</t>
  </si>
  <si>
    <t>(452) 235-1221</t>
  </si>
  <si>
    <t>Shaine Olson</t>
  </si>
  <si>
    <t>Dictum Proin LLP</t>
  </si>
  <si>
    <t>Ap #761-130 Commodo Road</t>
  </si>
  <si>
    <t>1-508-851-1054</t>
  </si>
  <si>
    <t>Isaac Williams</t>
  </si>
  <si>
    <t>Risus Morbi Industries</t>
  </si>
  <si>
    <t>612-3904 Tristique Avenue</t>
  </si>
  <si>
    <t>(419) 780-7333</t>
  </si>
  <si>
    <t>Bukit Merah</t>
  </si>
  <si>
    <t>AnÃ¡polis</t>
  </si>
  <si>
    <t>Sengkang</t>
  </si>
  <si>
    <t>Lysychansk</t>
  </si>
  <si>
    <t>Ligao</t>
  </si>
  <si>
    <t>Zirl</t>
  </si>
  <si>
    <t>Serang</t>
  </si>
  <si>
    <t>ToruÅ„</t>
  </si>
  <si>
    <t>Abbottabad</t>
  </si>
  <si>
    <t>Tirrases</t>
  </si>
  <si>
    <t>Chandigarh</t>
  </si>
  <si>
    <t>Butterworth</t>
  </si>
  <si>
    <t>Sevilla</t>
  </si>
  <si>
    <t>Sungei Kadut</t>
  </si>
  <si>
    <t>Pelotas</t>
  </si>
  <si>
    <t>Zona Bananera</t>
  </si>
  <si>
    <t>Mersin</t>
  </si>
  <si>
    <t>Yorkton</t>
  </si>
  <si>
    <t>Hilversum</t>
  </si>
  <si>
    <t>Puerto Princesa</t>
  </si>
  <si>
    <t>Raurkela Civil Township</t>
  </si>
  <si>
    <t>Madrid</t>
  </si>
  <si>
    <t>Owerri</t>
  </si>
  <si>
    <t>TuluÃ¡</t>
  </si>
  <si>
    <t>Maicao</t>
  </si>
  <si>
    <t>Puno</t>
  </si>
  <si>
    <t>GÃ¶tzis</t>
  </si>
  <si>
    <t>Cao Báº±ng</t>
  </si>
  <si>
    <t>Dublin</t>
  </si>
  <si>
    <t>Ila</t>
  </si>
  <si>
    <t>Troitsk</t>
  </si>
  <si>
    <t>Serramonacesca</t>
  </si>
  <si>
    <t>Bajaur Agency</t>
  </si>
  <si>
    <t>Meeffe</t>
  </si>
  <si>
    <t>Awka</t>
  </si>
  <si>
    <t>Tibet</t>
  </si>
  <si>
    <t>Sloviansk</t>
  </si>
  <si>
    <t>Westport</t>
  </si>
  <si>
    <t>Pervomaisk</t>
  </si>
  <si>
    <t>Pachuca</t>
  </si>
  <si>
    <t>Cuautla</t>
  </si>
  <si>
    <t>Nonsan</t>
  </si>
  <si>
    <t>Palmerston</t>
  </si>
  <si>
    <t>Dunbar</t>
  </si>
  <si>
    <t>Washington</t>
  </si>
  <si>
    <t>Montenegro</t>
  </si>
  <si>
    <t>Hawera</t>
  </si>
  <si>
    <t>Gaggio Montano</t>
  </si>
  <si>
    <t>Dave Milliken</t>
  </si>
  <si>
    <t>2 Address</t>
  </si>
  <si>
    <t>Acity</t>
  </si>
  <si>
    <t>BT8 1EE</t>
  </si>
  <si>
    <t>Qty</t>
  </si>
  <si>
    <t>Sub-Total</t>
  </si>
  <si>
    <t>Sub Total</t>
  </si>
  <si>
    <t>Discount</t>
  </si>
  <si>
    <t>Delivery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</si>
</sst>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"/>
    <numFmt numFmtId="165" formatCode="dd\ mmm\ yyyy"/>
    <numFmt numFmtId="167" formatCode="[$-F800]dddd\,\ mmmm\ dd\,\ yyyy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7">
    <xf numFmtId="0" fontId="0" fillId="0" borderId="0" xfId="0"/>
    <xf numFmtId="1" fontId="0" fillId="0" borderId="0" xfId="0" applyNumberFormat="1"/>
    <xf numFmtId="164" fontId="0" fillId="0" borderId="0" xfId="0" applyNumberFormat="1"/>
    <xf numFmtId="0" fontId="0" fillId="2" borderId="1" xfId="0" applyFill="1" applyBorder="1"/>
    <xf numFmtId="0" fontId="0" fillId="0" borderId="1" xfId="0" applyBorder="1"/>
    <xf numFmtId="165" fontId="0" fillId="0" borderId="0" xfId="0" applyNumberFormat="1"/>
    <xf numFmtId="2" fontId="0" fillId="0" borderId="0" xfId="0" applyNumberFormat="1"/>
    <xf numFmtId="11" fontId="0" fillId="0" borderId="0" xfId="0" applyNumberFormat="1"/>
    <xf numFmtId="20" fontId="0" fillId="0" borderId="0" xfId="0" applyNumberFormat="1"/>
    <xf numFmtId="14" fontId="0" fillId="0" borderId="0" xfId="0" applyNumberFormat="1"/>
    <xf numFmtId="0" fontId="1" fillId="0" borderId="0" xfId="0" applyFont="1"/>
    <xf numFmtId="1" fontId="1" fillId="0" borderId="0" xfId="0" applyNumberFormat="1" applyFont="1"/>
    <xf numFmtId="2" fontId="1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7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40">
    <dxf>
      <numFmt numFmtId="2" formatCode="0.00"/>
    </dxf>
    <dxf>
      <numFmt numFmtId="2" formatCode="0.0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" formatCode="0.00"/>
    </dxf>
    <dxf>
      <numFmt numFmtId="2" formatCode="0.0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/>
      </font>
      <numFmt numFmtId="1" formatCode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</dxf>
    <dxf>
      <font>
        <b/>
      </font>
      <numFmt numFmtId="2" formatCode="0.00"/>
    </dxf>
    <dxf>
      <font>
        <b/>
      </font>
    </dxf>
    <dxf>
      <font>
        <b/>
      </font>
    </dxf>
    <dxf>
      <font>
        <b/>
      </font>
    </dxf>
    <dxf>
      <numFmt numFmtId="1" formatCode="0"/>
    </dxf>
    <dxf>
      <numFmt numFmtId="1" formatCode="0"/>
    </dxf>
    <dxf>
      <numFmt numFmtId="0" formatCode="General"/>
    </dxf>
    <dxf>
      <numFmt numFmtId="164" formatCode="&quot;£&quot;#,##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64" formatCode="&quot;£&quot;#,##0.00"/>
    </dxf>
    <dxf>
      <numFmt numFmtId="164" formatCode="&quot;£&quot;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Apple Sales 2025</a:t>
            </a:r>
          </a:p>
          <a:p>
            <a:pPr>
              <a:defRPr/>
            </a:pPr>
            <a:r>
              <a:rPr lang="en-GB"/>
              <a:t>Jan-Mar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Summary!$B$1:$D$1</c:f>
              <c:strCache>
                <c:ptCount val="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</c:strCache>
            </c:strRef>
          </c:cat>
          <c:val>
            <c:numRef>
              <c:f>Summary!$B$2:$D$2</c:f>
              <c:numCache>
                <c:formatCode>General</c:formatCode>
                <c:ptCount val="3"/>
                <c:pt idx="0">
                  <c:v>28</c:v>
                </c:pt>
                <c:pt idx="1">
                  <c:v>21</c:v>
                </c:pt>
                <c:pt idx="2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F6-4640-8BA7-106A5BD81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1214623"/>
        <c:axId val="1971198303"/>
      </c:barChart>
      <c:catAx>
        <c:axId val="197121462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2025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1198303"/>
        <c:crosses val="autoZero"/>
        <c:auto val="1"/>
        <c:lblAlgn val="ctr"/>
        <c:lblOffset val="100"/>
        <c:noMultiLvlLbl val="0"/>
      </c:catAx>
      <c:valAx>
        <c:axId val="1971198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No of Crates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12146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605856</xdr:colOff>
      <xdr:row>3</xdr:row>
      <xdr:rowOff>33340</xdr:rowOff>
    </xdr:from>
    <xdr:to>
      <xdr:col>16</xdr:col>
      <xdr:colOff>644536</xdr:colOff>
      <xdr:row>18</xdr:row>
      <xdr:rowOff>60017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ECDC074-B395-C1DE-E12B-2B96AD872E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E4E2D48-099A-45DE-9A51-099EBF7686DE}" name="JanSales25" displayName="JanSales25" ref="A2:L7" totalsRowShown="0">
  <autoFilter ref="A2:L7" xr:uid="{FE4E2D48-099A-45DE-9A51-099EBF7686DE}"/>
  <sortState xmlns:xlrd2="http://schemas.microsoft.com/office/spreadsheetml/2017/richdata2" ref="A3:I7">
    <sortCondition descending="1" ref="I2:I7"/>
  </sortState>
  <tableColumns count="12">
    <tableColumn id="1" xr3:uid="{C7CC3A50-7062-4E4C-A5D7-29738FADA11B}" name="Fruit"/>
    <tableColumn id="9" xr3:uid="{CDBFE7C7-D22A-4F5F-8EB6-1A780DAC0A71}" name="Cost" dataDxfId="39"/>
    <tableColumn id="12" xr3:uid="{49C16CAA-C3FC-41C1-B5A1-2F8580047F4D}" name="Price" dataDxfId="38"/>
    <tableColumn id="2" xr3:uid="{AAEEE105-9D0D-4E52-9753-BAC60C271F02}" name="Monday" dataDxfId="37"/>
    <tableColumn id="3" xr3:uid="{E4907CAB-ABDE-4539-B304-95AAD28A07F6}" name="Tuesday" dataDxfId="36"/>
    <tableColumn id="4" xr3:uid="{9A433B6F-F576-465B-8CE3-10BAF30F0D09}" name="Wednesday" dataDxfId="35"/>
    <tableColumn id="5" xr3:uid="{21A80CA8-71B7-454C-BE97-FE0907D4E2DD}" name="Thursday" dataDxfId="34"/>
    <tableColumn id="6" xr3:uid="{4B13E284-1773-45ED-BFFF-E132E503981B}" name="Friday" dataDxfId="33"/>
    <tableColumn id="7" xr3:uid="{D956B8E7-F62B-471F-BAC1-71E40EB14D0E}" name="Total" dataDxfId="32">
      <calculatedColumnFormula>SUM(D3:H3)</calculatedColumnFormula>
    </tableColumn>
    <tableColumn id="8" xr3:uid="{6E49BE5C-5505-4F25-AF1A-D85C9F250B8E}" name="Average" dataDxfId="31">
      <calculatedColumnFormula>JanSales25[[#This Row],[Total]]/5</calculatedColumnFormula>
    </tableColumn>
    <tableColumn id="10" xr3:uid="{9010AE94-2FCC-46F1-B5B6-2B0F8598C4B3}" name="Weekly Income" dataDxfId="30">
      <calculatedColumnFormula>JanSales25[[#This Row],[Total]]*JanSales25[[#This Row],[Cost]]</calculatedColumnFormula>
    </tableColumn>
    <tableColumn id="11" xr3:uid="{686FE59E-97FF-4DC4-9B9F-18E98066AC65}" name="StdDev(P)" dataDxfId="29">
      <calculatedColumnFormula>_xlfn.STDEV.P(JanSales25[[#This Row],[Monday]:[Friday]])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270F684-EFD9-4FCD-BCE2-E2AD042D6EBC}" name="FebSales25" displayName="FebSales25" ref="A2:J7" totalsRowShown="0">
  <autoFilter ref="A2:J7" xr:uid="{D270F684-EFD9-4FCD-BCE2-E2AD042D6EBC}"/>
  <sortState xmlns:xlrd2="http://schemas.microsoft.com/office/spreadsheetml/2017/richdata2" ref="A3:I7">
    <sortCondition descending="1" ref="I2:I7"/>
  </sortState>
  <tableColumns count="10">
    <tableColumn id="1" xr3:uid="{884A611A-1CB5-4A44-A780-55C5DEB2F5ED}" name="Fruit"/>
    <tableColumn id="9" xr3:uid="{33F13908-B470-45FC-A145-4924012070AF}" name="Cost"/>
    <tableColumn id="10" xr3:uid="{886643D4-6418-4858-9207-9769DDAA16F9}" name="Price"/>
    <tableColumn id="2" xr3:uid="{04B87C22-3F9C-41D7-8D4C-D3D8E84DB696}" name="Monday"/>
    <tableColumn id="3" xr3:uid="{2C463A52-35AC-4822-BE6E-0E948160BB2C}" name="Tuesday"/>
    <tableColumn id="4" xr3:uid="{8BF2ED56-9AF1-460E-9B8F-8C2E44BBE96A}" name="Wednesday"/>
    <tableColumn id="5" xr3:uid="{7C0FBD30-773E-47E9-956F-CD4072DD650B}" name="Thursday"/>
    <tableColumn id="6" xr3:uid="{5B04E58D-9A2E-4B96-B166-68C8E3A7E07C}" name="Friday"/>
    <tableColumn id="7" xr3:uid="{F55AC3D6-F8EF-4FB1-A48D-9427C21D1F48}" name="Total">
      <calculatedColumnFormula>SUM(D3:H3)</calculatedColumnFormula>
    </tableColumn>
    <tableColumn id="8" xr3:uid="{6FA19118-FD8B-4282-9309-46DF3513C934}" name="Average" dataDxfId="28">
      <calculatedColumnFormula>FebSales25[[#This Row],[Total]]/5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3C5D14C-6710-4E9C-A137-FFF81F9E2546}" name="MarSales25" displayName="MarSales25" ref="A1:J6" totalsRowShown="0">
  <autoFilter ref="A1:J6" xr:uid="{B3C5D14C-6710-4E9C-A137-FFF81F9E2546}"/>
  <sortState xmlns:xlrd2="http://schemas.microsoft.com/office/spreadsheetml/2017/richdata2" ref="A2:I6">
    <sortCondition descending="1" ref="I1:I6"/>
  </sortState>
  <tableColumns count="10">
    <tableColumn id="1" xr3:uid="{07F6685E-1DAA-4609-B78F-4FB5DB4AE7F7}" name="Fruit"/>
    <tableColumn id="9" xr3:uid="{A99ECA2F-D7A6-47A5-B092-E933064D1463}" name="Cost"/>
    <tableColumn id="10" xr3:uid="{AF709586-0E26-46DC-A264-4E9AA2D2DB9D}" name="Price"/>
    <tableColumn id="2" xr3:uid="{CF8CD737-2257-4D07-9F84-30EEC9A34745}" name="Monday"/>
    <tableColumn id="3" xr3:uid="{341D9A16-E286-434D-B6EB-5FCC48C990BA}" name="Tuesday"/>
    <tableColumn id="4" xr3:uid="{B33D1696-CFB7-424A-B20E-4BB5AAEB6C67}" name="Wednesday"/>
    <tableColumn id="5" xr3:uid="{7D70BAA8-CA15-4AC1-A25A-8818B1C88BBF}" name="Thursday"/>
    <tableColumn id="6" xr3:uid="{C9C03193-21C1-4B06-8F3D-D2BA4BF91B5E}" name="Friday"/>
    <tableColumn id="7" xr3:uid="{01B60B26-D068-4986-A337-35C2D2B05337}" name="Total">
      <calculatedColumnFormula>SUM(D2:H2)</calculatedColumnFormula>
    </tableColumn>
    <tableColumn id="8" xr3:uid="{122BB8B8-9FBC-4C06-8F3B-414052F95919}" name="Average" dataDxfId="27">
      <calculatedColumnFormula>MarSales25[[#This Row],[Total]]/5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0FAD524-1593-4CDF-BDFA-3961F9926B51}" name="MarSales252" displayName="MarSales252" ref="A1:J6" totalsRowShown="0" headerRowDxfId="26" dataDxfId="25">
  <autoFilter ref="A1:J6" xr:uid="{70FAD524-1593-4CDF-BDFA-3961F9926B51}"/>
  <sortState xmlns:xlrd2="http://schemas.microsoft.com/office/spreadsheetml/2017/richdata2" ref="A2:I6">
    <sortCondition descending="1" ref="I1:I6"/>
  </sortState>
  <tableColumns count="10">
    <tableColumn id="1" xr3:uid="{E0559D93-E17E-4B94-BEA0-FBB2B95535C7}" name="Fruit" dataDxfId="24"/>
    <tableColumn id="9" xr3:uid="{63927EBB-BCAB-4F10-81E2-9F5AED275D1B}" name="Cost" dataDxfId="23"/>
    <tableColumn id="10" xr3:uid="{FABC1B5A-7DDE-4D93-960A-2CBADAB1A358}" name="Price" dataDxfId="22"/>
    <tableColumn id="2" xr3:uid="{8963CC1B-4740-4C07-BB46-DF8BC884359C}" name="Monday" dataDxfId="21"/>
    <tableColumn id="3" xr3:uid="{4CC6637D-1880-45E8-9D57-B6F3FBBC7848}" name="Tuesday" dataDxfId="20"/>
    <tableColumn id="4" xr3:uid="{04F02158-2723-4598-B1CF-85CFF38971BA}" name="Wednesday" dataDxfId="19"/>
    <tableColumn id="5" xr3:uid="{A94CD36A-84DB-4083-8889-BB44E6B0A453}" name="Thursday" dataDxfId="18"/>
    <tableColumn id="6" xr3:uid="{7134BC39-6001-484F-8BAF-6D1EF97BA4A0}" name="Friday" dataDxfId="17"/>
    <tableColumn id="7" xr3:uid="{EEAA3AB1-C290-476E-9B5A-7070DFF34E0B}" name="Total" dataDxfId="16"/>
    <tableColumn id="8" xr3:uid="{0922668E-167C-4BAA-9B84-F31440EF3F36}" name="Average" dataDxfId="1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8671350-BF4E-4AA1-883C-1963B420687F}" name="Products" displayName="Products" ref="A1:H6" totalsRowShown="0">
  <autoFilter ref="A1:H6" xr:uid="{B8671350-BF4E-4AA1-883C-1963B420687F}"/>
  <tableColumns count="8">
    <tableColumn id="1" xr3:uid="{6B7A141D-AF0B-4D92-9999-C37E64C2F1BB}" name="Item" dataDxfId="14"/>
    <tableColumn id="2" xr3:uid="{8B97F205-202B-47A8-B363-16C36DD78623}" name="Cost_per_item"/>
    <tableColumn id="6" xr3:uid="{42EB81CC-DA8D-44E1-B6E7-16C7337C8FF2}" name="Cost_per_case" dataDxfId="13">
      <calculatedColumnFormula>Products[[#This Row],[Cost_per_item]]*Products[[#This Row],[Case_Size]]</calculatedColumnFormula>
    </tableColumn>
    <tableColumn id="7" xr3:uid="{14B67B3A-1920-4DDE-B2F2-E7BAA6E859F0}" name="Profit_margin"/>
    <tableColumn id="5" xr3:uid="{BD6D1752-B803-4235-A15F-940B5E2BDF08}" name="Price_per_item" dataDxfId="12">
      <calculatedColumnFormula>((Products[[#This Row],[Cost_per_item]]/100)*Products[[#This Row],[Profit_margin]])+Products[[#This Row],[Cost_per_item]]</calculatedColumnFormula>
    </tableColumn>
    <tableColumn id="3" xr3:uid="{C63C59F6-5082-47D0-9A47-321AB4872D50}" name="Case_Size"/>
    <tableColumn id="4" xr3:uid="{91B0A01A-8B0B-47B8-BC33-3260086BE405}" name="Origin"/>
    <tableColumn id="8" xr3:uid="{293327DA-A5AC-4286-85AB-6C7064592989}" name="Profit_per_case" dataDxfId="11">
      <calculatedColumnFormula>(Products[[#This Row],[Price_per_item]]*Products[[#This Row],[Case_Size]])-(Products[[#This Row],[Cost_per_item]]*Products[[#This Row],[Case_Size]])</calculatedColumnFormula>
    </tableColumn>
  </tableColumns>
  <tableStyleInfo name="TableStyleMedium1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3409E20-A6A8-4B0B-9ED4-12C57FF7876C}" name="Table6" displayName="Table6" ref="A1:E6" totalsRowShown="0">
  <autoFilter ref="A1:E6" xr:uid="{83409E20-A6A8-4B0B-9ED4-12C57FF7876C}"/>
  <tableColumns count="5">
    <tableColumn id="1" xr3:uid="{371155D5-5EB3-496C-889C-6D1B45B1FF99}" name="Fruit"/>
    <tableColumn id="2" xr3:uid="{C676A379-B61B-451A-A7CD-6AC4AB54CEF4}" name="Jan" dataDxfId="10">
      <calculatedColumnFormula>'Jan2025'!I3</calculatedColumnFormula>
    </tableColumn>
    <tableColumn id="3" xr3:uid="{042466A2-5249-41E3-9C62-AF6152A42DB0}" name="Feb" dataDxfId="9">
      <calculatedColumnFormula>'Feb2025'!I3</calculatedColumnFormula>
    </tableColumn>
    <tableColumn id="4" xr3:uid="{7B1C78F5-EF96-4ED3-B697-20C968EDA434}" name="Mar" dataDxfId="8">
      <calculatedColumnFormula>'Mar2025'!I2</calculatedColumnFormula>
    </tableColumn>
    <tableColumn id="5" xr3:uid="{679EC009-4A3F-40AD-B3DE-B072EBE8B9B0}" name="Total" dataDxfId="7">
      <calculatedColumnFormula>SUM(Table6[[#This Row],[Jan]:[Mar]])</calculatedColumnFormula>
    </tableColumn>
  </tableColumns>
  <tableStyleInfo name="TableStyleMedium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06D20A9-E21A-423E-84F9-0A07BDF69285}" name="Table7" displayName="Table7" ref="A8:F12" totalsRowShown="0">
  <autoFilter ref="A8:F12" xr:uid="{706D20A9-E21A-423E-84F9-0A07BDF69285}"/>
  <tableColumns count="6">
    <tableColumn id="1" xr3:uid="{3EB843CE-EF7D-4A14-92EC-9D4506F0EF0F}" name="Product"/>
    <tableColumn id="2" xr3:uid="{CEB2A8B7-0D96-44D9-A393-309DDD55E46D}" name="Cost" dataDxfId="2">
      <calculatedColumnFormula>IF(Table7[[#This Row],[Product]]&lt;&gt;"",VLOOKUP(A9,Products[#All],2,FALSE),"Select a product")</calculatedColumnFormula>
    </tableColumn>
    <tableColumn id="3" xr3:uid="{BBCF6D86-ECD4-43C6-904A-46FEE0911037}" name="Case_Size" dataDxfId="6">
      <calculatedColumnFormula>VLOOKUP(A9,Products[#All],6,FALSE)</calculatedColumnFormula>
    </tableColumn>
    <tableColumn id="4" xr3:uid="{D3B806A6-0412-4717-9D65-A1252C0EDD9B}" name="Origins" dataDxfId="5">
      <calculatedColumnFormula>VLOOKUP(A9,Products[#All],7,FALSE)</calculatedColumnFormula>
    </tableColumn>
    <tableColumn id="5" xr3:uid="{84CC30EF-F04B-4B51-B710-CDFC345DC73A}" name="OrderQty" dataDxfId="4"/>
    <tableColumn id="6" xr3:uid="{A2F463F4-66ED-4D8D-88C9-D2A21490A419}" name="SubTotal" dataDxfId="3">
      <calculatedColumnFormula>Table7[[#This Row],[Cost]]*Table7[[#This Row],[OrderQty]]</calculatedColumnFormula>
    </tableColumn>
  </tableColumns>
  <tableStyleInfo name="TableStyleMedium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9FD02E1-6FC1-4E04-863C-8851822A6C4C}" name="Customer" displayName="Customer" ref="A1:G51" totalsRowShown="0">
  <autoFilter ref="A1:G51" xr:uid="{29FD02E1-6FC1-4E04-863C-8851822A6C4C}"/>
  <sortState xmlns:xlrd2="http://schemas.microsoft.com/office/spreadsheetml/2017/richdata2" ref="A2:G51">
    <sortCondition ref="A1:A51"/>
  </sortState>
  <tableColumns count="7">
    <tableColumn id="1" xr3:uid="{8FC5FB26-E3F3-49AD-A09B-B29FDB7DF477}" name="Company"/>
    <tableColumn id="8" xr3:uid="{27DFE626-7CE4-41BF-8A88-707C5BF4D68F}" name="No"/>
    <tableColumn id="2" xr3:uid="{DF042F08-D045-4603-A574-C3BEACEB2A67}" name="Name"/>
    <tableColumn id="4" xr3:uid="{21F3903D-0D61-4302-A389-BEBFD24C19E7}" name="Address"/>
    <tableColumn id="5" xr3:uid="{8B5E4A94-9063-4F99-B122-84F704AD6213}" name="City"/>
    <tableColumn id="6" xr3:uid="{C071F13C-7721-4369-8EF7-A84F365F8AE0}" name="Post_Code"/>
    <tableColumn id="7" xr3:uid="{1B896B91-C15C-4A86-8E87-FADB95CD8F59}" name="Tel"/>
  </tableColumns>
  <tableStyleInfo name="TableStyleMedium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CC9A5F9-FD06-439F-BE0D-3D5319FF4448}" name="Table9" displayName="Table9" ref="B17:E25" totalsRowShown="0">
  <autoFilter ref="B17:E25" xr:uid="{9CC9A5F9-FD06-439F-BE0D-3D5319FF4448}"/>
  <tableColumns count="4">
    <tableColumn id="1" xr3:uid="{A68B58A7-3166-4279-AB80-8CC7344C0E73}" name="Product"/>
    <tableColumn id="2" xr3:uid="{F01D5220-0027-43E6-810F-9018F9A24CBF}" name="Price" dataDxfId="1">
      <calculatedColumnFormula>IF(Table9[[#This Row],[Product]]&lt;&gt;"",VLOOKUP(Table9[[#This Row],[Product]], Products[#All],5,FALSE), "")</calculatedColumnFormula>
    </tableColumn>
    <tableColumn id="3" xr3:uid="{5CCE5C36-D502-4373-8ED6-0C67D4C0BBE9}" name="Qty"/>
    <tableColumn id="4" xr3:uid="{9F1C1F38-96DE-4142-A222-D6405D28F815}" name="Sub-Total" dataDxfId="0">
      <calculatedColumnFormula>IF(Table9[[#This Row],[Product]]&lt;&gt;"",Table9[[#This Row],[Qty]]*Table9[[#This Row],[Price]],"")</calculatedColumnFormula>
    </tableColumn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91CC2-7EF3-4186-A7DF-FF3CF6A6F7E3}">
  <dimension ref="A1:L13"/>
  <sheetViews>
    <sheetView zoomScale="140" zoomScaleNormal="140" workbookViewId="0">
      <selection activeCell="D3" sqref="D3"/>
    </sheetView>
  </sheetViews>
  <sheetFormatPr defaultRowHeight="14.25" x14ac:dyDescent="0.45"/>
  <cols>
    <col min="1" max="1" width="10.19921875" bestFit="1" customWidth="1"/>
    <col min="2" max="2" width="11.59765625" bestFit="1" customWidth="1"/>
    <col min="3" max="4" width="9.6640625" bestFit="1" customWidth="1"/>
    <col min="5" max="5" width="10.3984375" bestFit="1" customWidth="1"/>
    <col min="6" max="6" width="7.86328125" bestFit="1" customWidth="1"/>
    <col min="7" max="7" width="7" bestFit="1" customWidth="1"/>
    <col min="8" max="8" width="9.59765625" bestFit="1" customWidth="1"/>
    <col min="10" max="10" width="13.46484375" bestFit="1" customWidth="1"/>
    <col min="11" max="11" width="11.73046875" bestFit="1" customWidth="1"/>
  </cols>
  <sheetData>
    <row r="1" spans="1:12" x14ac:dyDescent="0.45">
      <c r="B1" s="13" t="s">
        <v>11</v>
      </c>
      <c r="C1" s="13"/>
      <c r="D1" s="13"/>
      <c r="E1" s="13"/>
      <c r="F1" s="13"/>
    </row>
    <row r="2" spans="1:12" x14ac:dyDescent="0.45">
      <c r="A2" t="s">
        <v>5</v>
      </c>
      <c r="B2" t="s">
        <v>31</v>
      </c>
      <c r="C2" t="s">
        <v>17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12</v>
      </c>
      <c r="J2" t="s">
        <v>13</v>
      </c>
      <c r="K2" t="s">
        <v>18</v>
      </c>
      <c r="L2" t="s">
        <v>19</v>
      </c>
    </row>
    <row r="3" spans="1:12" x14ac:dyDescent="0.45">
      <c r="A3" t="s">
        <v>0</v>
      </c>
      <c r="B3" s="2">
        <v>0.5</v>
      </c>
      <c r="C3" s="2"/>
      <c r="D3" s="1">
        <v>2</v>
      </c>
      <c r="E3" s="1">
        <v>4</v>
      </c>
      <c r="F3" s="1">
        <v>7</v>
      </c>
      <c r="G3" s="1">
        <v>6</v>
      </c>
      <c r="H3" s="1">
        <v>9</v>
      </c>
      <c r="I3" s="1">
        <f>SUM(D3:H3)</f>
        <v>28</v>
      </c>
      <c r="J3" s="6">
        <f>JanSales25[[#This Row],[Total]]/5</f>
        <v>5.6</v>
      </c>
      <c r="K3" s="2">
        <f>JanSales25[[#This Row],[Total]]*JanSales25[[#This Row],[Cost]]</f>
        <v>14</v>
      </c>
      <c r="L3">
        <f>_xlfn.STDEV.P(JanSales25[[#This Row],[Monday]:[Friday]])</f>
        <v>2.4166091947189146</v>
      </c>
    </row>
    <row r="4" spans="1:12" x14ac:dyDescent="0.45">
      <c r="A4" t="s">
        <v>4</v>
      </c>
      <c r="B4" s="2">
        <v>1</v>
      </c>
      <c r="C4" s="2"/>
      <c r="D4" s="1">
        <v>6</v>
      </c>
      <c r="E4" s="1">
        <v>1</v>
      </c>
      <c r="F4" s="1">
        <v>4</v>
      </c>
      <c r="G4" s="1">
        <v>6</v>
      </c>
      <c r="H4" s="1">
        <v>9</v>
      </c>
      <c r="I4" s="1">
        <f>SUM(D4:H4)</f>
        <v>26</v>
      </c>
      <c r="J4" s="6">
        <f>JanSales25[[#This Row],[Total]]/5</f>
        <v>5.2</v>
      </c>
      <c r="K4" s="2">
        <f>JanSales25[[#This Row],[Total]]*JanSales25[[#This Row],[Cost]]</f>
        <v>26</v>
      </c>
      <c r="L4">
        <f>_xlfn.STDEV.P(JanSales25[[#This Row],[Monday]:[Friday]])</f>
        <v>2.6381811916545836</v>
      </c>
    </row>
    <row r="5" spans="1:12" ht="14.65" customHeight="1" x14ac:dyDescent="0.45">
      <c r="A5" t="s">
        <v>3</v>
      </c>
      <c r="B5" s="2">
        <v>0.65</v>
      </c>
      <c r="C5" s="2"/>
      <c r="D5" s="1">
        <v>7</v>
      </c>
      <c r="E5" s="1">
        <v>4</v>
      </c>
      <c r="F5" s="1">
        <v>6</v>
      </c>
      <c r="G5" s="1">
        <v>5</v>
      </c>
      <c r="H5" s="1">
        <v>2</v>
      </c>
      <c r="I5" s="1">
        <f>SUM(D5:H5)</f>
        <v>24</v>
      </c>
      <c r="J5" s="6">
        <f>JanSales25[[#This Row],[Total]]/5</f>
        <v>4.8</v>
      </c>
      <c r="K5" s="2">
        <f>JanSales25[[#This Row],[Total]]*JanSales25[[#This Row],[Cost]]</f>
        <v>15.600000000000001</v>
      </c>
      <c r="L5">
        <f>_xlfn.STDEV.P(JanSales25[[#This Row],[Monday]:[Friday]])</f>
        <v>1.7204650534085253</v>
      </c>
    </row>
    <row r="6" spans="1:12" x14ac:dyDescent="0.45">
      <c r="A6" t="s">
        <v>1</v>
      </c>
      <c r="B6" s="2">
        <v>0.75</v>
      </c>
      <c r="C6" s="2"/>
      <c r="D6" s="1">
        <v>5</v>
      </c>
      <c r="E6" s="1">
        <v>2</v>
      </c>
      <c r="F6" s="1">
        <v>5</v>
      </c>
      <c r="G6" s="1">
        <v>4</v>
      </c>
      <c r="H6" s="1">
        <v>6</v>
      </c>
      <c r="I6" s="1">
        <f>SUM(D6:H6)</f>
        <v>22</v>
      </c>
      <c r="J6" s="6">
        <f>JanSales25[[#This Row],[Total]]/5</f>
        <v>4.4000000000000004</v>
      </c>
      <c r="K6" s="2">
        <f>JanSales25[[#This Row],[Total]]*JanSales25[[#This Row],[Cost]]</f>
        <v>16.5</v>
      </c>
      <c r="L6">
        <f>_xlfn.STDEV.P(JanSales25[[#This Row],[Monday]:[Friday]])</f>
        <v>1.3564659966250536</v>
      </c>
    </row>
    <row r="7" spans="1:12" x14ac:dyDescent="0.45">
      <c r="A7" t="s">
        <v>2</v>
      </c>
      <c r="B7" s="2">
        <v>0.69</v>
      </c>
      <c r="C7" s="2"/>
      <c r="D7" s="1">
        <v>1</v>
      </c>
      <c r="E7" s="1">
        <v>3</v>
      </c>
      <c r="F7" s="1">
        <v>3</v>
      </c>
      <c r="G7" s="1">
        <v>1</v>
      </c>
      <c r="H7" s="1">
        <v>5</v>
      </c>
      <c r="I7" s="1">
        <f>SUM(D7:H7)</f>
        <v>13</v>
      </c>
      <c r="J7" s="6">
        <f>JanSales25[[#This Row],[Total]]/5</f>
        <v>2.6</v>
      </c>
      <c r="K7" s="2">
        <f>JanSales25[[#This Row],[Total]]*JanSales25[[#This Row],[Cost]]</f>
        <v>8.9699999999999989</v>
      </c>
      <c r="L7">
        <f>_xlfn.STDEV.P(JanSales25[[#This Row],[Monday]:[Friday]])</f>
        <v>1.4966629547095767</v>
      </c>
    </row>
    <row r="11" spans="1:12" x14ac:dyDescent="0.45">
      <c r="A11" s="8"/>
    </row>
    <row r="12" spans="1:12" x14ac:dyDescent="0.45">
      <c r="A12" s="9"/>
      <c r="B12" s="7"/>
    </row>
    <row r="13" spans="1:12" x14ac:dyDescent="0.45">
      <c r="A13" s="5"/>
    </row>
  </sheetData>
  <mergeCells count="1">
    <mergeCell ref="B1:F1"/>
  </mergeCell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E27C4ED-F8D9-46A3-9302-3284A3DEF24E}">
          <x14:formula1>
            <xm:f>Products!$A$2:$A$6</xm:f>
          </x14:formula1>
          <xm:sqref>A3:A7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37C56-5545-460F-8628-EB1A713EC29D}">
  <dimension ref="A1:J7"/>
  <sheetViews>
    <sheetView zoomScale="190" zoomScaleNormal="190" workbookViewId="0">
      <selection activeCell="C3" sqref="C3"/>
    </sheetView>
  </sheetViews>
  <sheetFormatPr defaultRowHeight="14.25" x14ac:dyDescent="0.45"/>
  <cols>
    <col min="4" max="4" width="10.73046875" customWidth="1"/>
  </cols>
  <sheetData>
    <row r="1" spans="1:10" x14ac:dyDescent="0.45">
      <c r="B1" s="13" t="s">
        <v>11</v>
      </c>
      <c r="C1" s="13"/>
      <c r="D1" s="13"/>
      <c r="E1" s="13"/>
      <c r="F1" s="13"/>
    </row>
    <row r="2" spans="1:10" x14ac:dyDescent="0.45">
      <c r="A2" t="s">
        <v>5</v>
      </c>
      <c r="B2" t="s">
        <v>31</v>
      </c>
      <c r="C2" t="s">
        <v>17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12</v>
      </c>
      <c r="J2" t="s">
        <v>13</v>
      </c>
    </row>
    <row r="3" spans="1:10" x14ac:dyDescent="0.45">
      <c r="A3" t="s">
        <v>0</v>
      </c>
      <c r="B3">
        <v>0.5</v>
      </c>
      <c r="D3">
        <v>4</v>
      </c>
      <c r="E3">
        <v>5</v>
      </c>
      <c r="F3">
        <v>8</v>
      </c>
      <c r="G3">
        <v>2</v>
      </c>
      <c r="H3">
        <v>2</v>
      </c>
      <c r="I3">
        <f>SUM(D3:H3)</f>
        <v>21</v>
      </c>
      <c r="J3" s="1">
        <f>FebSales25[[#This Row],[Total]]/5</f>
        <v>4.2</v>
      </c>
    </row>
    <row r="4" spans="1:10" x14ac:dyDescent="0.45">
      <c r="A4" t="s">
        <v>4</v>
      </c>
      <c r="B4">
        <v>1</v>
      </c>
      <c r="D4">
        <v>6</v>
      </c>
      <c r="E4">
        <v>8</v>
      </c>
      <c r="F4">
        <v>3</v>
      </c>
      <c r="G4">
        <v>1</v>
      </c>
      <c r="H4">
        <v>1</v>
      </c>
      <c r="I4">
        <f>SUM(D4:H4)</f>
        <v>19</v>
      </c>
      <c r="J4" s="1">
        <f>FebSales25[[#This Row],[Total]]/5</f>
        <v>3.8</v>
      </c>
    </row>
    <row r="5" spans="1:10" x14ac:dyDescent="0.45">
      <c r="A5" t="s">
        <v>3</v>
      </c>
      <c r="B5">
        <v>0.65</v>
      </c>
      <c r="D5">
        <v>2</v>
      </c>
      <c r="E5">
        <v>3</v>
      </c>
      <c r="F5">
        <v>5</v>
      </c>
      <c r="G5">
        <v>4</v>
      </c>
      <c r="H5">
        <v>8</v>
      </c>
      <c r="I5">
        <f>SUM(D5:H5)</f>
        <v>22</v>
      </c>
      <c r="J5" s="1">
        <f>FebSales25[[#This Row],[Total]]/5</f>
        <v>4.4000000000000004</v>
      </c>
    </row>
    <row r="6" spans="1:10" x14ac:dyDescent="0.45">
      <c r="A6" t="s">
        <v>1</v>
      </c>
      <c r="B6">
        <v>0.75</v>
      </c>
      <c r="D6">
        <v>9</v>
      </c>
      <c r="E6">
        <v>8</v>
      </c>
      <c r="F6">
        <v>2</v>
      </c>
      <c r="G6">
        <v>1</v>
      </c>
      <c r="H6">
        <v>3</v>
      </c>
      <c r="I6">
        <f>SUM(D6:H6)</f>
        <v>23</v>
      </c>
      <c r="J6" s="1">
        <f>FebSales25[[#This Row],[Total]]/5</f>
        <v>4.5999999999999996</v>
      </c>
    </row>
    <row r="7" spans="1:10" x14ac:dyDescent="0.45">
      <c r="A7" t="s">
        <v>2</v>
      </c>
      <c r="B7">
        <v>0.69</v>
      </c>
      <c r="D7">
        <v>1</v>
      </c>
      <c r="E7">
        <v>3</v>
      </c>
      <c r="F7">
        <v>5</v>
      </c>
      <c r="G7">
        <v>7</v>
      </c>
      <c r="H7">
        <v>2</v>
      </c>
      <c r="I7">
        <f>SUM(D7:H7)</f>
        <v>18</v>
      </c>
      <c r="J7" s="1">
        <f>FebSales25[[#This Row],[Total]]/5</f>
        <v>3.6</v>
      </c>
    </row>
  </sheetData>
  <mergeCells count="1">
    <mergeCell ref="B1:F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8A5A9-F8B5-4648-9481-C7B8A1124B8C}">
  <dimension ref="A1:J6"/>
  <sheetViews>
    <sheetView zoomScaleNormal="100" workbookViewId="0">
      <selection activeCell="D2" sqref="D2"/>
    </sheetView>
  </sheetViews>
  <sheetFormatPr defaultRowHeight="14.25" x14ac:dyDescent="0.45"/>
  <cols>
    <col min="2" max="3" width="9.73046875" bestFit="1" customWidth="1"/>
    <col min="4" max="4" width="12.53125" bestFit="1" customWidth="1"/>
    <col min="5" max="5" width="10.53125" bestFit="1" customWidth="1"/>
    <col min="8" max="8" width="9.59765625" bestFit="1" customWidth="1"/>
  </cols>
  <sheetData>
    <row r="1" spans="1:10" x14ac:dyDescent="0.45">
      <c r="A1" t="s">
        <v>5</v>
      </c>
      <c r="B1" t="s">
        <v>31</v>
      </c>
      <c r="C1" t="s">
        <v>17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12</v>
      </c>
      <c r="J1" t="s">
        <v>13</v>
      </c>
    </row>
    <row r="2" spans="1:10" x14ac:dyDescent="0.45">
      <c r="A2" t="s">
        <v>0</v>
      </c>
      <c r="B2">
        <v>0.5</v>
      </c>
      <c r="D2">
        <v>2</v>
      </c>
      <c r="E2">
        <v>5</v>
      </c>
      <c r="F2">
        <v>4</v>
      </c>
      <c r="G2">
        <v>9</v>
      </c>
      <c r="H2">
        <v>7</v>
      </c>
      <c r="I2">
        <f>SUM(D2:H2)</f>
        <v>27</v>
      </c>
      <c r="J2" s="1">
        <f>MarSales25[[#This Row],[Total]]/5</f>
        <v>5.4</v>
      </c>
    </row>
    <row r="3" spans="1:10" x14ac:dyDescent="0.45">
      <c r="A3" t="s">
        <v>4</v>
      </c>
      <c r="B3">
        <v>1</v>
      </c>
      <c r="D3">
        <v>8</v>
      </c>
      <c r="E3">
        <v>7</v>
      </c>
      <c r="F3">
        <v>2</v>
      </c>
      <c r="G3">
        <v>2</v>
      </c>
      <c r="H3">
        <v>9</v>
      </c>
      <c r="I3">
        <f>SUM(D3:H3)</f>
        <v>28</v>
      </c>
      <c r="J3" s="1">
        <f>MarSales25[[#This Row],[Total]]/5</f>
        <v>5.6</v>
      </c>
    </row>
    <row r="4" spans="1:10" x14ac:dyDescent="0.45">
      <c r="A4" t="s">
        <v>3</v>
      </c>
      <c r="B4">
        <v>0.65</v>
      </c>
      <c r="D4">
        <v>2</v>
      </c>
      <c r="E4">
        <v>7</v>
      </c>
      <c r="F4">
        <v>8</v>
      </c>
      <c r="G4">
        <v>9</v>
      </c>
      <c r="H4">
        <v>1</v>
      </c>
      <c r="I4">
        <f>SUM(D4:H4)</f>
        <v>27</v>
      </c>
      <c r="J4" s="1">
        <f>MarSales25[[#This Row],[Total]]/5</f>
        <v>5.4</v>
      </c>
    </row>
    <row r="5" spans="1:10" x14ac:dyDescent="0.45">
      <c r="A5" t="s">
        <v>1</v>
      </c>
      <c r="B5">
        <v>0.75</v>
      </c>
      <c r="D5">
        <v>9</v>
      </c>
      <c r="E5">
        <v>8</v>
      </c>
      <c r="F5">
        <v>3</v>
      </c>
      <c r="G5">
        <v>3</v>
      </c>
      <c r="H5">
        <v>1</v>
      </c>
      <c r="I5">
        <f>SUM(D5:H5)</f>
        <v>24</v>
      </c>
      <c r="J5" s="1">
        <f>MarSales25[[#This Row],[Total]]/5</f>
        <v>4.8</v>
      </c>
    </row>
    <row r="6" spans="1:10" x14ac:dyDescent="0.45">
      <c r="A6" t="s">
        <v>2</v>
      </c>
      <c r="B6">
        <v>0.69</v>
      </c>
      <c r="D6">
        <v>2</v>
      </c>
      <c r="E6">
        <v>3</v>
      </c>
      <c r="F6">
        <v>1</v>
      </c>
      <c r="G6">
        <v>4</v>
      </c>
      <c r="H6">
        <v>7</v>
      </c>
      <c r="I6">
        <f>SUM(D6:H6)</f>
        <v>17</v>
      </c>
      <c r="J6" s="1">
        <f>MarSales25[[#This Row],[Total]]/5</f>
        <v>3.4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8727C-AA1D-4808-ADB3-B8BA247C83B6}">
  <dimension ref="A1:J6"/>
  <sheetViews>
    <sheetView zoomScale="175" zoomScaleNormal="175" workbookViewId="0">
      <selection activeCell="C2" sqref="C2"/>
    </sheetView>
  </sheetViews>
  <sheetFormatPr defaultRowHeight="14.25" x14ac:dyDescent="0.45"/>
  <cols>
    <col min="1" max="1" width="7.6640625" bestFit="1" customWidth="1"/>
    <col min="2" max="2" width="6.9296875" bestFit="1" customWidth="1"/>
    <col min="3" max="4" width="9.73046875" bestFit="1" customWidth="1"/>
    <col min="5" max="5" width="12.53125" bestFit="1" customWidth="1"/>
    <col min="6" max="6" width="10.53125" bestFit="1" customWidth="1"/>
    <col min="7" max="7" width="8" bestFit="1" customWidth="1"/>
    <col min="8" max="8" width="7.06640625" bestFit="1" customWidth="1"/>
    <col min="9" max="9" width="9.59765625" bestFit="1" customWidth="1"/>
  </cols>
  <sheetData>
    <row r="1" spans="1:10" x14ac:dyDescent="0.45">
      <c r="A1" s="10" t="s">
        <v>5</v>
      </c>
      <c r="B1" s="10" t="s">
        <v>31</v>
      </c>
      <c r="C1" s="10" t="s">
        <v>17</v>
      </c>
      <c r="D1" s="10" t="s">
        <v>6</v>
      </c>
      <c r="E1" s="10" t="s">
        <v>7</v>
      </c>
      <c r="F1" s="10" t="s">
        <v>8</v>
      </c>
      <c r="G1" s="10" t="s">
        <v>9</v>
      </c>
      <c r="H1" s="10" t="s">
        <v>10</v>
      </c>
      <c r="I1" s="10" t="s">
        <v>12</v>
      </c>
      <c r="J1" s="10" t="s">
        <v>13</v>
      </c>
    </row>
    <row r="2" spans="1:10" x14ac:dyDescent="0.45">
      <c r="A2" s="10" t="s">
        <v>3</v>
      </c>
      <c r="B2" s="12"/>
      <c r="C2" s="12"/>
      <c r="D2" s="10"/>
      <c r="E2" s="10"/>
      <c r="F2" s="10"/>
      <c r="G2" s="10"/>
      <c r="H2" s="10"/>
      <c r="I2" s="10"/>
      <c r="J2" s="11"/>
    </row>
    <row r="3" spans="1:10" x14ac:dyDescent="0.45">
      <c r="A3" s="10" t="s">
        <v>4</v>
      </c>
      <c r="B3" s="12"/>
      <c r="C3" s="12"/>
      <c r="D3" s="10"/>
      <c r="E3" s="10"/>
      <c r="F3" s="10"/>
      <c r="G3" s="10"/>
      <c r="H3" s="10"/>
      <c r="I3" s="10"/>
      <c r="J3" s="11"/>
    </row>
    <row r="4" spans="1:10" x14ac:dyDescent="0.45">
      <c r="A4" s="10" t="s">
        <v>2</v>
      </c>
      <c r="B4" s="12"/>
      <c r="C4" s="12"/>
      <c r="D4" s="10"/>
      <c r="E4" s="10"/>
      <c r="F4" s="10"/>
      <c r="G4" s="10"/>
      <c r="H4" s="10"/>
      <c r="I4" s="10"/>
      <c r="J4" s="11"/>
    </row>
    <row r="5" spans="1:10" x14ac:dyDescent="0.45">
      <c r="A5" s="10"/>
      <c r="B5" s="12"/>
      <c r="C5" s="12"/>
      <c r="D5" s="10"/>
      <c r="E5" s="10"/>
      <c r="F5" s="10"/>
      <c r="G5" s="10"/>
      <c r="H5" s="10"/>
      <c r="I5" s="10"/>
      <c r="J5" s="11"/>
    </row>
    <row r="6" spans="1:10" x14ac:dyDescent="0.45">
      <c r="A6" s="10"/>
      <c r="B6" s="12"/>
      <c r="C6" s="12"/>
      <c r="D6" s="10"/>
      <c r="E6" s="10"/>
      <c r="F6" s="10"/>
      <c r="G6" s="10"/>
      <c r="H6" s="10"/>
      <c r="I6" s="10"/>
      <c r="J6" s="11"/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60CAC3BB-4694-4FFB-82F1-78D5F12DB188}">
          <x14:formula1>
            <xm:f>Products!$A$2:$A$6</xm:f>
          </x14:formula1>
          <xm:sqref>A2:A6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F72F6-FEE3-45E1-BE8F-B9F977B957C3}">
  <dimension ref="A1:H6"/>
  <sheetViews>
    <sheetView zoomScale="170" zoomScaleNormal="170" workbookViewId="0">
      <selection activeCell="E3" sqref="E3"/>
    </sheetView>
  </sheetViews>
  <sheetFormatPr defaultRowHeight="14.25" x14ac:dyDescent="0.45"/>
  <cols>
    <col min="1" max="1" width="7.3984375" bestFit="1" customWidth="1"/>
    <col min="2" max="2" width="14.796875" bestFit="1" customWidth="1"/>
    <col min="3" max="3" width="14.59765625" bestFit="1" customWidth="1"/>
    <col min="4" max="4" width="14" bestFit="1" customWidth="1"/>
    <col min="5" max="5" width="15.265625" bestFit="1" customWidth="1"/>
    <col min="6" max="6" width="10.796875" bestFit="1" customWidth="1"/>
    <col min="7" max="7" width="7.86328125" bestFit="1" customWidth="1"/>
    <col min="8" max="8" width="15.59765625" bestFit="1" customWidth="1"/>
  </cols>
  <sheetData>
    <row r="1" spans="1:8" x14ac:dyDescent="0.45">
      <c r="A1" t="s">
        <v>20</v>
      </c>
      <c r="B1" t="s">
        <v>33</v>
      </c>
      <c r="C1" t="s">
        <v>34</v>
      </c>
      <c r="D1" t="s">
        <v>35</v>
      </c>
      <c r="E1" t="s">
        <v>36</v>
      </c>
      <c r="F1" t="s">
        <v>23</v>
      </c>
      <c r="G1" t="s">
        <v>24</v>
      </c>
      <c r="H1" t="s">
        <v>37</v>
      </c>
    </row>
    <row r="2" spans="1:8" x14ac:dyDescent="0.45">
      <c r="A2" s="3" t="s">
        <v>0</v>
      </c>
      <c r="B2">
        <v>0.5</v>
      </c>
      <c r="C2">
        <f>Products[[#This Row],[Cost_per_item]]*Products[[#This Row],[Case_Size]]</f>
        <v>12</v>
      </c>
      <c r="D2">
        <v>35</v>
      </c>
      <c r="E2" s="6">
        <f>((Products[[#This Row],[Cost_per_item]]/100)*Products[[#This Row],[Profit_margin]])+Products[[#This Row],[Cost_per_item]]</f>
        <v>0.67500000000000004</v>
      </c>
      <c r="F2">
        <v>24</v>
      </c>
      <c r="G2" t="s">
        <v>25</v>
      </c>
      <c r="H2" s="6">
        <f>(Products[[#This Row],[Price_per_item]]*Products[[#This Row],[Case_Size]])-(Products[[#This Row],[Cost_per_item]]*Products[[#This Row],[Case_Size]])</f>
        <v>4.2000000000000028</v>
      </c>
    </row>
    <row r="3" spans="1:8" x14ac:dyDescent="0.45">
      <c r="A3" s="4" t="s">
        <v>21</v>
      </c>
      <c r="B3">
        <v>1</v>
      </c>
      <c r="C3">
        <f>Products[[#This Row],[Cost_per_item]]*Products[[#This Row],[Case_Size]]</f>
        <v>36</v>
      </c>
      <c r="D3">
        <v>200</v>
      </c>
      <c r="E3" s="6">
        <f>((Products[[#This Row],[Cost_per_item]]/100)*Products[[#This Row],[Profit_margin]])+Products[[#This Row],[Cost_per_item]]</f>
        <v>3</v>
      </c>
      <c r="F3">
        <v>36</v>
      </c>
      <c r="G3" t="s">
        <v>26</v>
      </c>
      <c r="H3" s="6">
        <f>(Products[[#This Row],[Price_per_item]]*Products[[#This Row],[Case_Size]])-(Products[[#This Row],[Cost_per_item]]*Products[[#This Row],[Case_Size]])</f>
        <v>72</v>
      </c>
    </row>
    <row r="4" spans="1:8" x14ac:dyDescent="0.45">
      <c r="A4" s="3" t="s">
        <v>22</v>
      </c>
      <c r="B4">
        <v>0.65</v>
      </c>
      <c r="C4">
        <f>Products[[#This Row],[Cost_per_item]]*Products[[#This Row],[Case_Size]]</f>
        <v>93.600000000000009</v>
      </c>
      <c r="D4">
        <v>68</v>
      </c>
      <c r="E4" s="6">
        <f>((Products[[#This Row],[Cost_per_item]]/100)*Products[[#This Row],[Profit_margin]])+Products[[#This Row],[Cost_per_item]]</f>
        <v>1.0920000000000001</v>
      </c>
      <c r="F4">
        <v>144</v>
      </c>
      <c r="G4" t="s">
        <v>27</v>
      </c>
      <c r="H4" s="6">
        <f>(Products[[#This Row],[Price_per_item]]*Products[[#This Row],[Case_Size]])-(Products[[#This Row],[Cost_per_item]]*Products[[#This Row],[Case_Size]])</f>
        <v>63.64800000000001</v>
      </c>
    </row>
    <row r="5" spans="1:8" x14ac:dyDescent="0.45">
      <c r="A5" s="4" t="s">
        <v>1</v>
      </c>
      <c r="B5">
        <v>0.75</v>
      </c>
      <c r="C5">
        <f>Products[[#This Row],[Cost_per_item]]*Products[[#This Row],[Case_Size]]</f>
        <v>126</v>
      </c>
      <c r="D5">
        <v>20</v>
      </c>
      <c r="E5" s="6">
        <f>((Products[[#This Row],[Cost_per_item]]/100)*Products[[#This Row],[Profit_margin]])+Products[[#This Row],[Cost_per_item]]</f>
        <v>0.9</v>
      </c>
      <c r="F5">
        <v>168</v>
      </c>
      <c r="G5" t="s">
        <v>28</v>
      </c>
      <c r="H5" s="6">
        <f>(Products[[#This Row],[Price_per_item]]*Products[[#This Row],[Case_Size]])-(Products[[#This Row],[Cost_per_item]]*Products[[#This Row],[Case_Size]])</f>
        <v>25.200000000000017</v>
      </c>
    </row>
    <row r="6" spans="1:8" x14ac:dyDescent="0.45">
      <c r="A6" s="3" t="s">
        <v>2</v>
      </c>
      <c r="B6">
        <v>0.69</v>
      </c>
      <c r="C6">
        <f>Products[[#This Row],[Cost_per_item]]*Products[[#This Row],[Case_Size]]</f>
        <v>49.679999999999993</v>
      </c>
      <c r="D6">
        <v>15</v>
      </c>
      <c r="E6" s="6">
        <f>((Products[[#This Row],[Cost_per_item]]/100)*Products[[#This Row],[Profit_margin]])+Products[[#This Row],[Cost_per_item]]</f>
        <v>0.79349999999999998</v>
      </c>
      <c r="F6">
        <v>72</v>
      </c>
      <c r="G6" t="s">
        <v>29</v>
      </c>
      <c r="H6" s="6">
        <f>(Products[[#This Row],[Price_per_item]]*Products[[#This Row],[Case_Size]])-(Products[[#This Row],[Cost_per_item]]*Products[[#This Row],[Case_Size]])</f>
        <v>7.4520000000000053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E3B5F-F64F-4D34-80A0-FD7B0AE1CEC3}">
  <dimension ref="A1:F12"/>
  <sheetViews>
    <sheetView topLeftCell="A4" zoomScale="205" zoomScaleNormal="205" workbookViewId="0">
      <selection activeCell="B10" sqref="B10"/>
    </sheetView>
  </sheetViews>
  <sheetFormatPr defaultRowHeight="14.25" x14ac:dyDescent="0.45"/>
  <cols>
    <col min="2" max="2" width="13.59765625" bestFit="1" customWidth="1"/>
  </cols>
  <sheetData>
    <row r="1" spans="1:6" x14ac:dyDescent="0.45">
      <c r="A1" t="s">
        <v>5</v>
      </c>
      <c r="B1" t="s">
        <v>14</v>
      </c>
      <c r="C1" t="s">
        <v>15</v>
      </c>
      <c r="D1" t="s">
        <v>16</v>
      </c>
      <c r="E1" t="s">
        <v>12</v>
      </c>
    </row>
    <row r="2" spans="1:6" x14ac:dyDescent="0.45">
      <c r="A2" t="s">
        <v>0</v>
      </c>
      <c r="B2">
        <f>'Jan2025'!I3</f>
        <v>28</v>
      </c>
      <c r="C2">
        <f>'Feb2025'!I3</f>
        <v>21</v>
      </c>
      <c r="D2">
        <f>'Mar2025'!I2</f>
        <v>27</v>
      </c>
      <c r="E2">
        <f>SUM(Table6[[#This Row],[Jan]:[Mar]])</f>
        <v>76</v>
      </c>
    </row>
    <row r="3" spans="1:6" x14ac:dyDescent="0.45">
      <c r="A3" t="s">
        <v>4</v>
      </c>
      <c r="B3">
        <f>'Jan2025'!I4</f>
        <v>26</v>
      </c>
      <c r="C3">
        <f>'Feb2025'!I4</f>
        <v>19</v>
      </c>
      <c r="D3">
        <f>'Mar2025'!I3</f>
        <v>28</v>
      </c>
      <c r="E3">
        <f>SUM(Table6[[#This Row],[Jan]:[Mar]])</f>
        <v>73</v>
      </c>
    </row>
    <row r="4" spans="1:6" x14ac:dyDescent="0.45">
      <c r="A4" t="s">
        <v>3</v>
      </c>
      <c r="B4">
        <f>'Jan2025'!I5</f>
        <v>24</v>
      </c>
      <c r="C4">
        <f>'Feb2025'!I5</f>
        <v>22</v>
      </c>
      <c r="D4">
        <f>'Mar2025'!I4</f>
        <v>27</v>
      </c>
      <c r="E4">
        <f>SUM(Table6[[#This Row],[Jan]:[Mar]])</f>
        <v>73</v>
      </c>
    </row>
    <row r="5" spans="1:6" x14ac:dyDescent="0.45">
      <c r="A5" t="s">
        <v>1</v>
      </c>
      <c r="B5">
        <f>'Jan2025'!I6</f>
        <v>22</v>
      </c>
      <c r="C5">
        <f>'Feb2025'!I6</f>
        <v>23</v>
      </c>
      <c r="D5">
        <f>'Mar2025'!I5</f>
        <v>24</v>
      </c>
      <c r="E5">
        <f>SUM(Table6[[#This Row],[Jan]:[Mar]])</f>
        <v>69</v>
      </c>
    </row>
    <row r="6" spans="1:6" x14ac:dyDescent="0.45">
      <c r="A6" t="s">
        <v>2</v>
      </c>
      <c r="B6">
        <f>'Jan2025'!I7</f>
        <v>13</v>
      </c>
      <c r="C6">
        <f>'Feb2025'!I7</f>
        <v>18</v>
      </c>
      <c r="D6">
        <f>'Mar2025'!I6</f>
        <v>17</v>
      </c>
      <c r="E6">
        <f>SUM(Table6[[#This Row],[Jan]:[Mar]])</f>
        <v>48</v>
      </c>
    </row>
    <row r="8" spans="1:6" x14ac:dyDescent="0.45">
      <c r="A8" t="s">
        <v>30</v>
      </c>
      <c r="B8" t="s">
        <v>31</v>
      </c>
      <c r="C8" t="s">
        <v>23</v>
      </c>
      <c r="D8" t="s">
        <v>32</v>
      </c>
      <c r="E8" t="s">
        <v>38</v>
      </c>
      <c r="F8" t="s">
        <v>39</v>
      </c>
    </row>
    <row r="9" spans="1:6" x14ac:dyDescent="0.45">
      <c r="B9" t="str">
        <f>IF(Table7[[#This Row],[Product]]&lt;&gt;"",VLOOKUP(A9,Products[#All],2,FALSE),"Select a product")</f>
        <v>Select a product</v>
      </c>
      <c r="C9" t="e">
        <f>VLOOKUP(A9,Products[#All],6,FALSE)</f>
        <v>#N/A</v>
      </c>
      <c r="D9" t="e">
        <f>VLOOKUP(A9,Products[#All],7,FALSE)</f>
        <v>#N/A</v>
      </c>
      <c r="E9">
        <v>45</v>
      </c>
      <c r="F9" t="e">
        <f>Table7[[#This Row],[Cost]]*Table7[[#This Row],[OrderQty]]</f>
        <v>#VALUE!</v>
      </c>
    </row>
    <row r="10" spans="1:6" x14ac:dyDescent="0.45">
      <c r="A10" t="s">
        <v>21</v>
      </c>
      <c r="B10">
        <f>IF(Table7[[#This Row],[Product]]&lt;&gt;"",VLOOKUP(A10,Products[#All],2,FALSE),"Select a product")</f>
        <v>1</v>
      </c>
      <c r="C10">
        <f>VLOOKUP(A10,Products[#All],6,FALSE)</f>
        <v>36</v>
      </c>
      <c r="D10" t="str">
        <f>VLOOKUP(A10,Products[#All],7,FALSE)</f>
        <v>China</v>
      </c>
      <c r="E10">
        <v>20</v>
      </c>
      <c r="F10">
        <f>Table7[[#This Row],[Cost]]*Table7[[#This Row],[OrderQty]]</f>
        <v>20</v>
      </c>
    </row>
    <row r="11" spans="1:6" x14ac:dyDescent="0.45">
      <c r="A11" t="s">
        <v>22</v>
      </c>
      <c r="B11">
        <f>IF(Table7[[#This Row],[Product]]&lt;&gt;"",VLOOKUP(A11,Products[#All],2,FALSE),"Select a product")</f>
        <v>0.65</v>
      </c>
      <c r="C11">
        <f>VLOOKUP(A11,Products[#All],6,FALSE)</f>
        <v>144</v>
      </c>
      <c r="D11" t="str">
        <f>VLOOKUP(A11,Products[#All],7,FALSE)</f>
        <v>France</v>
      </c>
      <c r="E11">
        <v>15</v>
      </c>
      <c r="F11">
        <f>Table7[[#This Row],[Cost]]*Table7[[#This Row],[OrderQty]]</f>
        <v>9.75</v>
      </c>
    </row>
    <row r="12" spans="1:6" x14ac:dyDescent="0.45">
      <c r="A12" t="s">
        <v>2</v>
      </c>
      <c r="B12">
        <f>IF(Table7[[#This Row],[Product]]&lt;&gt;"",VLOOKUP(A12,Products[#All],2,FALSE),"Select a product")</f>
        <v>0.69</v>
      </c>
      <c r="C12">
        <f>VLOOKUP(A12,Products[#All],6,FALSE)</f>
        <v>72</v>
      </c>
      <c r="D12" t="str">
        <f>VLOOKUP(A12,Products[#All],7,FALSE)</f>
        <v>Greece</v>
      </c>
      <c r="F12">
        <f>Table7[[#This Row],[Cost]]*Table7[[#This Row],[OrderQty]]</f>
        <v>0</v>
      </c>
    </row>
  </sheetData>
  <pageMargins left="0.7" right="0.7" top="0.75" bottom="0.75" header="0.3" footer="0.3"/>
  <drawing r:id="rId1"/>
  <tableParts count="2"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91F5442-1D1F-4E7D-9A2C-D82519AECE50}">
          <x14:formula1>
            <xm:f>Products!$A$2:$A$6</xm:f>
          </x14:formula1>
          <xm:sqref>A9:A11 A13:A17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20803-2BD4-4F1F-87AB-EDAF857BDB8A}">
  <dimension ref="A1:G51"/>
  <sheetViews>
    <sheetView topLeftCell="A27" workbookViewId="0">
      <selection activeCell="C28" sqref="C28"/>
    </sheetView>
  </sheetViews>
  <sheetFormatPr defaultRowHeight="14.25" x14ac:dyDescent="0.45"/>
  <cols>
    <col min="1" max="1" width="30.6640625" bestFit="1" customWidth="1"/>
    <col min="3" max="3" width="30.6640625" bestFit="1" customWidth="1"/>
    <col min="4" max="4" width="19.46484375" bestFit="1" customWidth="1"/>
    <col min="5" max="5" width="31.53125" bestFit="1" customWidth="1"/>
    <col min="6" max="6" width="10.86328125" customWidth="1"/>
    <col min="7" max="7" width="13.59765625" bestFit="1" customWidth="1"/>
  </cols>
  <sheetData>
    <row r="1" spans="1:7" x14ac:dyDescent="0.45">
      <c r="A1" t="s">
        <v>42</v>
      </c>
      <c r="B1" t="s">
        <v>40</v>
      </c>
      <c r="C1" t="s">
        <v>41</v>
      </c>
      <c r="D1" t="s">
        <v>43</v>
      </c>
      <c r="E1" t="s">
        <v>44</v>
      </c>
      <c r="F1" t="s">
        <v>45</v>
      </c>
      <c r="G1" t="s">
        <v>46</v>
      </c>
    </row>
    <row r="2" spans="1:7" x14ac:dyDescent="0.45">
      <c r="A2" t="s">
        <v>48</v>
      </c>
      <c r="B2">
        <v>1</v>
      </c>
      <c r="C2" t="s">
        <v>47</v>
      </c>
      <c r="D2" t="s">
        <v>254</v>
      </c>
      <c r="E2" t="s">
        <v>49</v>
      </c>
      <c r="F2">
        <v>5595</v>
      </c>
      <c r="G2" t="s">
        <v>50</v>
      </c>
    </row>
    <row r="3" spans="1:7" x14ac:dyDescent="0.45">
      <c r="A3" t="s">
        <v>52</v>
      </c>
      <c r="B3">
        <v>2</v>
      </c>
      <c r="C3" t="s">
        <v>51</v>
      </c>
      <c r="D3" t="s">
        <v>255</v>
      </c>
      <c r="E3" t="s">
        <v>53</v>
      </c>
      <c r="F3">
        <v>82388</v>
      </c>
      <c r="G3" t="s">
        <v>54</v>
      </c>
    </row>
    <row r="4" spans="1:7" x14ac:dyDescent="0.45">
      <c r="A4" t="s">
        <v>56</v>
      </c>
      <c r="B4">
        <v>3</v>
      </c>
      <c r="C4" t="s">
        <v>55</v>
      </c>
      <c r="D4" t="s">
        <v>256</v>
      </c>
      <c r="E4" t="s">
        <v>57</v>
      </c>
      <c r="F4">
        <v>82715</v>
      </c>
      <c r="G4" t="s">
        <v>58</v>
      </c>
    </row>
    <row r="5" spans="1:7" x14ac:dyDescent="0.45">
      <c r="A5" t="s">
        <v>60</v>
      </c>
      <c r="B5">
        <v>4</v>
      </c>
      <c r="C5" t="s">
        <v>59</v>
      </c>
      <c r="D5" t="s">
        <v>257</v>
      </c>
      <c r="E5" t="s">
        <v>61</v>
      </c>
      <c r="F5">
        <v>891246</v>
      </c>
      <c r="G5" t="s">
        <v>62</v>
      </c>
    </row>
    <row r="6" spans="1:7" x14ac:dyDescent="0.45">
      <c r="A6" t="s">
        <v>64</v>
      </c>
      <c r="B6">
        <v>5</v>
      </c>
      <c r="C6" t="s">
        <v>63</v>
      </c>
      <c r="D6" t="s">
        <v>258</v>
      </c>
      <c r="E6" t="s">
        <v>65</v>
      </c>
      <c r="F6">
        <v>68957</v>
      </c>
      <c r="G6" t="s">
        <v>66</v>
      </c>
    </row>
    <row r="7" spans="1:7" x14ac:dyDescent="0.45">
      <c r="A7" t="s">
        <v>68</v>
      </c>
      <c r="B7">
        <v>6</v>
      </c>
      <c r="C7" t="s">
        <v>67</v>
      </c>
      <c r="D7" t="s">
        <v>259</v>
      </c>
      <c r="E7" t="s">
        <v>69</v>
      </c>
      <c r="F7">
        <v>76837</v>
      </c>
      <c r="G7" t="s">
        <v>70</v>
      </c>
    </row>
    <row r="8" spans="1:7" x14ac:dyDescent="0.45">
      <c r="A8" t="s">
        <v>72</v>
      </c>
      <c r="B8">
        <v>7</v>
      </c>
      <c r="C8" t="s">
        <v>71</v>
      </c>
      <c r="D8" t="s">
        <v>260</v>
      </c>
      <c r="E8" t="s">
        <v>73</v>
      </c>
      <c r="F8">
        <v>32733</v>
      </c>
      <c r="G8" t="s">
        <v>74</v>
      </c>
    </row>
    <row r="9" spans="1:7" x14ac:dyDescent="0.45">
      <c r="A9" t="s">
        <v>76</v>
      </c>
      <c r="B9">
        <v>8</v>
      </c>
      <c r="C9" t="s">
        <v>75</v>
      </c>
      <c r="D9" t="s">
        <v>261</v>
      </c>
      <c r="E9" t="s">
        <v>77</v>
      </c>
      <c r="F9">
        <v>7675</v>
      </c>
      <c r="G9" t="s">
        <v>78</v>
      </c>
    </row>
    <row r="10" spans="1:7" x14ac:dyDescent="0.45">
      <c r="A10" t="s">
        <v>80</v>
      </c>
      <c r="B10">
        <v>9</v>
      </c>
      <c r="C10" t="s">
        <v>79</v>
      </c>
      <c r="D10" t="s">
        <v>262</v>
      </c>
      <c r="E10" t="s">
        <v>81</v>
      </c>
      <c r="F10">
        <v>4591</v>
      </c>
      <c r="G10" t="s">
        <v>82</v>
      </c>
    </row>
    <row r="11" spans="1:7" x14ac:dyDescent="0.45">
      <c r="A11" t="s">
        <v>84</v>
      </c>
      <c r="B11">
        <v>10</v>
      </c>
      <c r="C11" t="s">
        <v>83</v>
      </c>
      <c r="D11" t="s">
        <v>263</v>
      </c>
      <c r="E11" t="s">
        <v>85</v>
      </c>
      <c r="F11">
        <v>7262</v>
      </c>
      <c r="G11" t="s">
        <v>86</v>
      </c>
    </row>
    <row r="12" spans="1:7" x14ac:dyDescent="0.45">
      <c r="A12" t="s">
        <v>88</v>
      </c>
      <c r="B12">
        <v>11</v>
      </c>
      <c r="C12" t="s">
        <v>87</v>
      </c>
      <c r="D12" t="s">
        <v>264</v>
      </c>
      <c r="E12" t="s">
        <v>89</v>
      </c>
      <c r="F12">
        <v>63649</v>
      </c>
      <c r="G12" t="s">
        <v>90</v>
      </c>
    </row>
    <row r="13" spans="1:7" x14ac:dyDescent="0.45">
      <c r="A13" t="s">
        <v>92</v>
      </c>
      <c r="B13">
        <v>12</v>
      </c>
      <c r="C13" t="s">
        <v>91</v>
      </c>
      <c r="D13" t="s">
        <v>265</v>
      </c>
      <c r="E13" t="s">
        <v>93</v>
      </c>
      <c r="F13">
        <v>362164</v>
      </c>
      <c r="G13" t="s">
        <v>94</v>
      </c>
    </row>
    <row r="14" spans="1:7" x14ac:dyDescent="0.45">
      <c r="A14" t="s">
        <v>96</v>
      </c>
      <c r="B14">
        <v>13</v>
      </c>
      <c r="C14" t="s">
        <v>95</v>
      </c>
      <c r="D14" t="s">
        <v>266</v>
      </c>
      <c r="E14" t="s">
        <v>97</v>
      </c>
      <c r="F14">
        <v>342017</v>
      </c>
      <c r="G14" t="s">
        <v>98</v>
      </c>
    </row>
    <row r="15" spans="1:7" x14ac:dyDescent="0.45">
      <c r="A15" t="s">
        <v>100</v>
      </c>
      <c r="B15">
        <v>14</v>
      </c>
      <c r="C15" t="s">
        <v>99</v>
      </c>
      <c r="D15" t="s">
        <v>267</v>
      </c>
      <c r="E15" t="s">
        <v>101</v>
      </c>
      <c r="F15">
        <v>82845</v>
      </c>
      <c r="G15" t="s">
        <v>102</v>
      </c>
    </row>
    <row r="16" spans="1:7" x14ac:dyDescent="0.45">
      <c r="A16" t="s">
        <v>104</v>
      </c>
      <c r="B16">
        <v>15</v>
      </c>
      <c r="C16" t="s">
        <v>103</v>
      </c>
      <c r="D16" t="s">
        <v>268</v>
      </c>
      <c r="E16" t="s">
        <v>105</v>
      </c>
      <c r="F16" t="s">
        <v>106</v>
      </c>
      <c r="G16" t="s">
        <v>107</v>
      </c>
    </row>
    <row r="17" spans="1:7" x14ac:dyDescent="0.45">
      <c r="A17" t="s">
        <v>109</v>
      </c>
      <c r="B17">
        <v>16</v>
      </c>
      <c r="C17" t="s">
        <v>108</v>
      </c>
      <c r="D17" t="s">
        <v>269</v>
      </c>
      <c r="E17" t="s">
        <v>110</v>
      </c>
      <c r="F17">
        <v>25224</v>
      </c>
      <c r="G17" t="s">
        <v>111</v>
      </c>
    </row>
    <row r="18" spans="1:7" x14ac:dyDescent="0.45">
      <c r="A18" t="s">
        <v>113</v>
      </c>
      <c r="B18">
        <v>17</v>
      </c>
      <c r="C18" t="s">
        <v>112</v>
      </c>
      <c r="D18" t="s">
        <v>270</v>
      </c>
      <c r="E18" t="s">
        <v>114</v>
      </c>
      <c r="F18">
        <v>37439</v>
      </c>
      <c r="G18" t="s">
        <v>115</v>
      </c>
    </row>
    <row r="19" spans="1:7" x14ac:dyDescent="0.45">
      <c r="A19" t="s">
        <v>117</v>
      </c>
      <c r="B19">
        <v>18</v>
      </c>
      <c r="C19" t="s">
        <v>116</v>
      </c>
      <c r="D19" t="s">
        <v>271</v>
      </c>
      <c r="E19" t="s">
        <v>118</v>
      </c>
      <c r="F19">
        <v>6502</v>
      </c>
      <c r="G19" t="s">
        <v>119</v>
      </c>
    </row>
    <row r="20" spans="1:7" x14ac:dyDescent="0.45">
      <c r="A20" t="s">
        <v>121</v>
      </c>
      <c r="B20">
        <v>19</v>
      </c>
      <c r="C20" t="s">
        <v>120</v>
      </c>
      <c r="D20" t="s">
        <v>272</v>
      </c>
      <c r="E20" t="s">
        <v>122</v>
      </c>
      <c r="F20">
        <v>306255</v>
      </c>
      <c r="G20" t="s">
        <v>123</v>
      </c>
    </row>
    <row r="21" spans="1:7" x14ac:dyDescent="0.45">
      <c r="A21" t="s">
        <v>125</v>
      </c>
      <c r="B21">
        <v>20</v>
      </c>
      <c r="C21" t="s">
        <v>124</v>
      </c>
      <c r="D21" t="s">
        <v>273</v>
      </c>
      <c r="E21" t="s">
        <v>126</v>
      </c>
      <c r="F21">
        <v>8451</v>
      </c>
      <c r="G21" t="s">
        <v>127</v>
      </c>
    </row>
    <row r="22" spans="1:7" x14ac:dyDescent="0.45">
      <c r="A22" t="s">
        <v>129</v>
      </c>
      <c r="B22">
        <v>21</v>
      </c>
      <c r="C22" t="s">
        <v>128</v>
      </c>
      <c r="D22" t="s">
        <v>274</v>
      </c>
      <c r="E22" t="s">
        <v>130</v>
      </c>
      <c r="F22">
        <v>3245</v>
      </c>
      <c r="G22" t="s">
        <v>131</v>
      </c>
    </row>
    <row r="23" spans="1:7" x14ac:dyDescent="0.45">
      <c r="A23" t="s">
        <v>133</v>
      </c>
      <c r="B23">
        <v>22</v>
      </c>
      <c r="C23" t="s">
        <v>132</v>
      </c>
      <c r="D23" t="s">
        <v>275</v>
      </c>
      <c r="E23" t="s">
        <v>134</v>
      </c>
      <c r="F23">
        <v>5721</v>
      </c>
      <c r="G23" t="s">
        <v>135</v>
      </c>
    </row>
    <row r="24" spans="1:7" x14ac:dyDescent="0.45">
      <c r="A24" t="s">
        <v>137</v>
      </c>
      <c r="B24">
        <v>23</v>
      </c>
      <c r="C24" t="s">
        <v>136</v>
      </c>
      <c r="D24" t="s">
        <v>261</v>
      </c>
      <c r="E24" t="s">
        <v>138</v>
      </c>
      <c r="F24">
        <v>528188</v>
      </c>
      <c r="G24" t="s">
        <v>139</v>
      </c>
    </row>
    <row r="25" spans="1:7" x14ac:dyDescent="0.45">
      <c r="A25" t="s">
        <v>141</v>
      </c>
      <c r="B25">
        <v>24</v>
      </c>
      <c r="C25" t="s">
        <v>140</v>
      </c>
      <c r="D25" t="s">
        <v>276</v>
      </c>
      <c r="E25" t="s">
        <v>142</v>
      </c>
      <c r="F25">
        <v>778524</v>
      </c>
      <c r="G25" t="s">
        <v>143</v>
      </c>
    </row>
    <row r="26" spans="1:7" x14ac:dyDescent="0.45">
      <c r="A26" t="s">
        <v>145</v>
      </c>
      <c r="B26">
        <v>25</v>
      </c>
      <c r="C26" t="s">
        <v>144</v>
      </c>
      <c r="D26" t="s">
        <v>277</v>
      </c>
      <c r="E26" t="s">
        <v>146</v>
      </c>
      <c r="F26">
        <v>2362</v>
      </c>
      <c r="G26" t="s">
        <v>147</v>
      </c>
    </row>
    <row r="27" spans="1:7" x14ac:dyDescent="0.45">
      <c r="A27" t="s">
        <v>149</v>
      </c>
      <c r="B27">
        <v>26</v>
      </c>
      <c r="C27" t="s">
        <v>148</v>
      </c>
      <c r="D27" t="s">
        <v>278</v>
      </c>
      <c r="E27" t="s">
        <v>150</v>
      </c>
      <c r="F27">
        <v>874434</v>
      </c>
      <c r="G27" t="s">
        <v>151</v>
      </c>
    </row>
    <row r="28" spans="1:7" x14ac:dyDescent="0.45">
      <c r="A28" t="s">
        <v>153</v>
      </c>
      <c r="B28">
        <v>27</v>
      </c>
      <c r="C28" t="s">
        <v>152</v>
      </c>
      <c r="D28" t="s">
        <v>279</v>
      </c>
      <c r="E28" t="s">
        <v>154</v>
      </c>
      <c r="F28">
        <v>8529</v>
      </c>
      <c r="G28" t="s">
        <v>155</v>
      </c>
    </row>
    <row r="29" spans="1:7" x14ac:dyDescent="0.45">
      <c r="A29" t="s">
        <v>157</v>
      </c>
      <c r="B29">
        <v>28</v>
      </c>
      <c r="C29" t="s">
        <v>156</v>
      </c>
      <c r="D29" t="s">
        <v>280</v>
      </c>
      <c r="E29" t="s">
        <v>158</v>
      </c>
      <c r="F29" t="s">
        <v>159</v>
      </c>
      <c r="G29" t="s">
        <v>160</v>
      </c>
    </row>
    <row r="30" spans="1:7" x14ac:dyDescent="0.45">
      <c r="A30" t="s">
        <v>162</v>
      </c>
      <c r="B30">
        <v>29</v>
      </c>
      <c r="C30" t="s">
        <v>161</v>
      </c>
      <c r="D30" t="s">
        <v>281</v>
      </c>
      <c r="E30" t="s">
        <v>163</v>
      </c>
      <c r="F30" t="s">
        <v>164</v>
      </c>
      <c r="G30" t="s">
        <v>165</v>
      </c>
    </row>
    <row r="31" spans="1:7" x14ac:dyDescent="0.45">
      <c r="A31" t="s">
        <v>167</v>
      </c>
      <c r="B31">
        <v>30</v>
      </c>
      <c r="C31" t="s">
        <v>166</v>
      </c>
      <c r="D31" t="s">
        <v>282</v>
      </c>
      <c r="E31" t="s">
        <v>168</v>
      </c>
      <c r="F31">
        <v>13027</v>
      </c>
      <c r="G31" t="s">
        <v>169</v>
      </c>
    </row>
    <row r="32" spans="1:7" x14ac:dyDescent="0.45">
      <c r="A32" t="s">
        <v>171</v>
      </c>
      <c r="B32">
        <v>31</v>
      </c>
      <c r="C32" t="s">
        <v>170</v>
      </c>
      <c r="D32" t="s">
        <v>283</v>
      </c>
      <c r="E32" t="s">
        <v>172</v>
      </c>
      <c r="F32">
        <v>309881</v>
      </c>
      <c r="G32" t="s">
        <v>173</v>
      </c>
    </row>
    <row r="33" spans="1:7" x14ac:dyDescent="0.45">
      <c r="A33" t="s">
        <v>175</v>
      </c>
      <c r="B33">
        <v>32</v>
      </c>
      <c r="C33" t="s">
        <v>174</v>
      </c>
      <c r="D33" t="s">
        <v>284</v>
      </c>
      <c r="E33" t="s">
        <v>176</v>
      </c>
      <c r="F33">
        <v>51019</v>
      </c>
      <c r="G33" t="s">
        <v>177</v>
      </c>
    </row>
    <row r="34" spans="1:7" x14ac:dyDescent="0.45">
      <c r="A34" t="s">
        <v>179</v>
      </c>
      <c r="B34">
        <v>33</v>
      </c>
      <c r="C34" t="s">
        <v>178</v>
      </c>
      <c r="D34" t="s">
        <v>285</v>
      </c>
      <c r="E34" t="s">
        <v>180</v>
      </c>
      <c r="F34">
        <v>58631</v>
      </c>
      <c r="G34" t="s">
        <v>181</v>
      </c>
    </row>
    <row r="35" spans="1:7" x14ac:dyDescent="0.45">
      <c r="A35" t="s">
        <v>183</v>
      </c>
      <c r="B35">
        <v>34</v>
      </c>
      <c r="C35" t="s">
        <v>182</v>
      </c>
      <c r="D35" t="s">
        <v>286</v>
      </c>
      <c r="E35" t="s">
        <v>184</v>
      </c>
      <c r="F35" t="s">
        <v>185</v>
      </c>
      <c r="G35" t="s">
        <v>186</v>
      </c>
    </row>
    <row r="36" spans="1:7" x14ac:dyDescent="0.45">
      <c r="A36" t="s">
        <v>188</v>
      </c>
      <c r="B36">
        <v>35</v>
      </c>
      <c r="C36" t="s">
        <v>187</v>
      </c>
      <c r="D36" t="s">
        <v>287</v>
      </c>
      <c r="E36" t="s">
        <v>189</v>
      </c>
      <c r="F36">
        <v>71892</v>
      </c>
      <c r="G36" t="s">
        <v>190</v>
      </c>
    </row>
    <row r="37" spans="1:7" x14ac:dyDescent="0.45">
      <c r="A37" t="s">
        <v>192</v>
      </c>
      <c r="B37">
        <v>36</v>
      </c>
      <c r="C37" t="s">
        <v>191</v>
      </c>
      <c r="D37" t="s">
        <v>288</v>
      </c>
      <c r="E37" t="s">
        <v>193</v>
      </c>
      <c r="F37" t="s">
        <v>194</v>
      </c>
      <c r="G37" t="s">
        <v>195</v>
      </c>
    </row>
    <row r="38" spans="1:7" x14ac:dyDescent="0.45">
      <c r="A38" t="s">
        <v>197</v>
      </c>
      <c r="B38">
        <v>37</v>
      </c>
      <c r="C38" t="s">
        <v>196</v>
      </c>
      <c r="D38" t="s">
        <v>289</v>
      </c>
      <c r="E38" t="s">
        <v>198</v>
      </c>
      <c r="F38">
        <v>50207</v>
      </c>
      <c r="G38" t="s">
        <v>199</v>
      </c>
    </row>
    <row r="39" spans="1:7" x14ac:dyDescent="0.45">
      <c r="A39" t="s">
        <v>201</v>
      </c>
      <c r="B39">
        <v>38</v>
      </c>
      <c r="C39" t="s">
        <v>200</v>
      </c>
      <c r="D39" t="s">
        <v>290</v>
      </c>
      <c r="E39" t="s">
        <v>202</v>
      </c>
      <c r="F39">
        <v>600712</v>
      </c>
      <c r="G39" t="s">
        <v>203</v>
      </c>
    </row>
    <row r="40" spans="1:7" x14ac:dyDescent="0.45">
      <c r="A40" t="s">
        <v>205</v>
      </c>
      <c r="B40">
        <v>39</v>
      </c>
      <c r="C40" t="s">
        <v>204</v>
      </c>
      <c r="D40" t="s">
        <v>291</v>
      </c>
      <c r="E40" t="s">
        <v>206</v>
      </c>
      <c r="F40">
        <v>21913</v>
      </c>
      <c r="G40" t="s">
        <v>207</v>
      </c>
    </row>
    <row r="41" spans="1:7" x14ac:dyDescent="0.45">
      <c r="A41" t="s">
        <v>209</v>
      </c>
      <c r="B41">
        <v>40</v>
      </c>
      <c r="C41" t="s">
        <v>208</v>
      </c>
      <c r="D41" t="s">
        <v>292</v>
      </c>
      <c r="E41" t="s">
        <v>210</v>
      </c>
      <c r="F41">
        <v>22509</v>
      </c>
      <c r="G41" t="s">
        <v>211</v>
      </c>
    </row>
    <row r="42" spans="1:7" x14ac:dyDescent="0.45">
      <c r="A42" t="s">
        <v>213</v>
      </c>
      <c r="B42">
        <v>41</v>
      </c>
      <c r="C42" t="s">
        <v>212</v>
      </c>
      <c r="D42" t="s">
        <v>293</v>
      </c>
      <c r="E42" t="s">
        <v>214</v>
      </c>
      <c r="F42">
        <v>2123</v>
      </c>
      <c r="G42" t="s">
        <v>215</v>
      </c>
    </row>
    <row r="43" spans="1:7" x14ac:dyDescent="0.45">
      <c r="A43" t="s">
        <v>217</v>
      </c>
      <c r="B43">
        <v>42</v>
      </c>
      <c r="C43" t="s">
        <v>216</v>
      </c>
      <c r="D43" t="s">
        <v>294</v>
      </c>
      <c r="E43" t="s">
        <v>218</v>
      </c>
      <c r="F43">
        <v>39978</v>
      </c>
      <c r="G43" t="s">
        <v>219</v>
      </c>
    </row>
    <row r="44" spans="1:7" x14ac:dyDescent="0.45">
      <c r="A44" t="s">
        <v>221</v>
      </c>
      <c r="B44">
        <v>43</v>
      </c>
      <c r="C44" t="s">
        <v>220</v>
      </c>
      <c r="D44" t="s">
        <v>295</v>
      </c>
      <c r="E44" t="s">
        <v>222</v>
      </c>
      <c r="F44">
        <v>6716</v>
      </c>
      <c r="G44" t="s">
        <v>223</v>
      </c>
    </row>
    <row r="45" spans="1:7" x14ac:dyDescent="0.45">
      <c r="A45" t="s">
        <v>225</v>
      </c>
      <c r="B45">
        <v>44</v>
      </c>
      <c r="C45" t="s">
        <v>224</v>
      </c>
      <c r="D45" t="s">
        <v>296</v>
      </c>
      <c r="E45" t="s">
        <v>226</v>
      </c>
      <c r="F45">
        <v>13162</v>
      </c>
      <c r="G45" t="s">
        <v>227</v>
      </c>
    </row>
    <row r="46" spans="1:7" x14ac:dyDescent="0.45">
      <c r="A46" t="s">
        <v>229</v>
      </c>
      <c r="B46">
        <v>45</v>
      </c>
      <c r="C46" t="s">
        <v>228</v>
      </c>
      <c r="D46" t="s">
        <v>297</v>
      </c>
      <c r="E46" t="s">
        <v>230</v>
      </c>
      <c r="F46">
        <v>856448</v>
      </c>
      <c r="G46" t="s">
        <v>231</v>
      </c>
    </row>
    <row r="47" spans="1:7" x14ac:dyDescent="0.45">
      <c r="A47" t="s">
        <v>233</v>
      </c>
      <c r="B47">
        <v>46</v>
      </c>
      <c r="C47" t="s">
        <v>232</v>
      </c>
      <c r="D47" t="s">
        <v>298</v>
      </c>
      <c r="E47" t="s">
        <v>234</v>
      </c>
      <c r="F47">
        <v>63952</v>
      </c>
      <c r="G47" t="s">
        <v>235</v>
      </c>
    </row>
    <row r="48" spans="1:7" x14ac:dyDescent="0.45">
      <c r="A48" t="s">
        <v>237</v>
      </c>
      <c r="B48">
        <v>47</v>
      </c>
      <c r="C48" t="s">
        <v>236</v>
      </c>
      <c r="D48" t="s">
        <v>299</v>
      </c>
      <c r="E48" t="s">
        <v>238</v>
      </c>
      <c r="F48" t="s">
        <v>239</v>
      </c>
      <c r="G48" t="s">
        <v>240</v>
      </c>
    </row>
    <row r="49" spans="1:7" x14ac:dyDescent="0.45">
      <c r="A49" t="s">
        <v>242</v>
      </c>
      <c r="B49">
        <v>48</v>
      </c>
      <c r="C49" t="s">
        <v>241</v>
      </c>
      <c r="D49" t="s">
        <v>282</v>
      </c>
      <c r="E49" t="s">
        <v>243</v>
      </c>
      <c r="F49" t="s">
        <v>244</v>
      </c>
      <c r="G49" t="s">
        <v>245</v>
      </c>
    </row>
    <row r="50" spans="1:7" x14ac:dyDescent="0.45">
      <c r="A50" t="s">
        <v>247</v>
      </c>
      <c r="B50">
        <v>49</v>
      </c>
      <c r="C50" t="s">
        <v>246</v>
      </c>
      <c r="D50" t="s">
        <v>300</v>
      </c>
      <c r="E50" t="s">
        <v>248</v>
      </c>
      <c r="F50">
        <v>87364</v>
      </c>
      <c r="G50" t="s">
        <v>249</v>
      </c>
    </row>
    <row r="51" spans="1:7" x14ac:dyDescent="0.45">
      <c r="A51" t="s">
        <v>251</v>
      </c>
      <c r="B51">
        <v>50</v>
      </c>
      <c r="C51" t="s">
        <v>250</v>
      </c>
      <c r="D51" t="s">
        <v>301</v>
      </c>
      <c r="E51" t="s">
        <v>252</v>
      </c>
      <c r="F51">
        <v>987568</v>
      </c>
      <c r="G51" t="s">
        <v>253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5B543-4583-4017-AF31-B59E356213F7}">
  <dimension ref="B2:I30"/>
  <sheetViews>
    <sheetView tabSelected="1" topLeftCell="A10" zoomScale="145" zoomScaleNormal="145" workbookViewId="0">
      <selection activeCell="C18" sqref="C18"/>
    </sheetView>
  </sheetViews>
  <sheetFormatPr defaultRowHeight="14.25" x14ac:dyDescent="0.45"/>
  <cols>
    <col min="2" max="2" width="30.6640625" bestFit="1" customWidth="1"/>
    <col min="9" max="9" width="15.265625" bestFit="1" customWidth="1"/>
  </cols>
  <sheetData>
    <row r="2" spans="2:9" x14ac:dyDescent="0.45">
      <c r="I2" s="14" t="s">
        <v>302</v>
      </c>
    </row>
    <row r="3" spans="2:9" x14ac:dyDescent="0.45">
      <c r="I3" s="14" t="s">
        <v>303</v>
      </c>
    </row>
    <row r="4" spans="2:9" x14ac:dyDescent="0.45">
      <c r="I4" s="14" t="s">
        <v>304</v>
      </c>
    </row>
    <row r="5" spans="2:9" x14ac:dyDescent="0.45">
      <c r="I5" s="14" t="s">
        <v>305</v>
      </c>
    </row>
    <row r="8" spans="2:9" x14ac:dyDescent="0.45">
      <c r="I8" s="15">
        <v>45888</v>
      </c>
    </row>
    <row r="10" spans="2:9" x14ac:dyDescent="0.45">
      <c r="B10" t="s">
        <v>183</v>
      </c>
    </row>
    <row r="11" spans="2:9" x14ac:dyDescent="0.45">
      <c r="B11" t="str">
        <f>VLOOKUP(B10,Customer[],3, FALSE)</f>
        <v>Rogan Maynard</v>
      </c>
    </row>
    <row r="12" spans="2:9" x14ac:dyDescent="0.45">
      <c r="B12" t="str">
        <f>VLOOKUP(B10,Customer[],5, FALSE)</f>
        <v>P.O. Box 953, 4415 Inceptos Street</v>
      </c>
    </row>
    <row r="13" spans="2:9" x14ac:dyDescent="0.45">
      <c r="B13" s="16" t="str">
        <f>VLOOKUP(B10,Customer[],6, FALSE)</f>
        <v>s7S 4L7</v>
      </c>
    </row>
    <row r="14" spans="2:9" x14ac:dyDescent="0.45">
      <c r="B14" t="str">
        <f>VLOOKUP(B10,Customer[],7, FALSE)</f>
        <v>1-438-863-5252</v>
      </c>
    </row>
    <row r="17" spans="2:5" x14ac:dyDescent="0.45">
      <c r="B17" t="s">
        <v>30</v>
      </c>
      <c r="C17" t="s">
        <v>17</v>
      </c>
      <c r="D17" t="s">
        <v>306</v>
      </c>
      <c r="E17" t="s">
        <v>307</v>
      </c>
    </row>
    <row r="18" spans="2:5" x14ac:dyDescent="0.45">
      <c r="B18" t="s">
        <v>1</v>
      </c>
      <c r="C18" s="6">
        <f>IF(Table9[[#This Row],[Product]]&lt;&gt;"",VLOOKUP(Table9[[#This Row],[Product]], Products[#All],5,FALSE), "")</f>
        <v>0.9</v>
      </c>
      <c r="D18">
        <v>56</v>
      </c>
      <c r="E18" s="6">
        <f>IF(Table9[[#This Row],[Product]]&lt;&gt;"",Table9[[#This Row],[Qty]]*Table9[[#This Row],[Price]],"")</f>
        <v>50.4</v>
      </c>
    </row>
    <row r="19" spans="2:5" x14ac:dyDescent="0.45">
      <c r="B19" t="s">
        <v>22</v>
      </c>
      <c r="C19" s="6">
        <f>IF(Table9[[#This Row],[Product]]&lt;&gt;"",VLOOKUP(Table9[[#This Row],[Product]], Products[#All],5,FALSE), "")</f>
        <v>1.0920000000000001</v>
      </c>
      <c r="D19">
        <v>3</v>
      </c>
      <c r="E19" s="6">
        <f>IF(Table9[[#This Row],[Product]]&lt;&gt;"",Table9[[#This Row],[Qty]]*Table9[[#This Row],[Price]],"")</f>
        <v>3.2760000000000002</v>
      </c>
    </row>
    <row r="20" spans="2:5" x14ac:dyDescent="0.45">
      <c r="B20" t="s">
        <v>1</v>
      </c>
      <c r="C20" s="6">
        <f>IF(Table9[[#This Row],[Product]]&lt;&gt;"",VLOOKUP(Table9[[#This Row],[Product]], Products[#All],5,FALSE), "")</f>
        <v>0.9</v>
      </c>
      <c r="D20">
        <v>20</v>
      </c>
      <c r="E20" s="6">
        <f>IF(Table9[[#This Row],[Product]]&lt;&gt;"",Table9[[#This Row],[Qty]]*Table9[[#This Row],[Price]],"")</f>
        <v>18</v>
      </c>
    </row>
    <row r="21" spans="2:5" x14ac:dyDescent="0.45">
      <c r="C21" s="6" t="str">
        <f>IF(Table9[[#This Row],[Product]]&lt;&gt;"",VLOOKUP(Table9[[#This Row],[Product]], Products[#All],5,FALSE), "")</f>
        <v/>
      </c>
      <c r="E21" s="6" t="str">
        <f>IF(Table9[[#This Row],[Product]]&lt;&gt;"",Table9[[#This Row],[Qty]]*Table9[[#This Row],[Price]],"")</f>
        <v/>
      </c>
    </row>
    <row r="22" spans="2:5" x14ac:dyDescent="0.45">
      <c r="C22" s="6" t="str">
        <f>IF(Table9[[#This Row],[Product]]&lt;&gt;"",VLOOKUP(Table9[[#This Row],[Product]], Products[#All],5,FALSE), "")</f>
        <v/>
      </c>
      <c r="E22" s="6" t="str">
        <f>IF(Table9[[#This Row],[Product]]&lt;&gt;"",Table9[[#This Row],[Qty]]*Table9[[#This Row],[Price]],"")</f>
        <v/>
      </c>
    </row>
    <row r="23" spans="2:5" x14ac:dyDescent="0.45">
      <c r="C23" s="6" t="str">
        <f>IF(Table9[[#This Row],[Product]]&lt;&gt;"",VLOOKUP(Table9[[#This Row],[Product]], Products[#All],5,FALSE), "")</f>
        <v/>
      </c>
      <c r="E23" s="6" t="str">
        <f>IF(Table9[[#This Row],[Product]]&lt;&gt;"",Table9[[#This Row],[Qty]]*Table9[[#This Row],[Price]],"")</f>
        <v/>
      </c>
    </row>
    <row r="24" spans="2:5" x14ac:dyDescent="0.45">
      <c r="C24" s="6" t="str">
        <f>IF(Table9[[#This Row],[Product]]&lt;&gt;"",VLOOKUP(Table9[[#This Row],[Product]], Products[#All],5,FALSE), "")</f>
        <v/>
      </c>
      <c r="E24" s="6" t="str">
        <f>IF(Table9[[#This Row],[Product]]&lt;&gt;"",Table9[[#This Row],[Qty]]*Table9[[#This Row],[Price]],"")</f>
        <v/>
      </c>
    </row>
    <row r="25" spans="2:5" x14ac:dyDescent="0.45">
      <c r="C25" s="6" t="str">
        <f>IF(Table9[[#This Row],[Product]]&lt;&gt;"",VLOOKUP(Table9[[#This Row],[Product]], Products[#All],5,FALSE), "")</f>
        <v/>
      </c>
      <c r="E25" s="6" t="str">
        <f>IF(Table9[[#This Row],[Product]]&lt;&gt;"",Table9[[#This Row],[Qty]]*Table9[[#This Row],[Price]],"")</f>
        <v/>
      </c>
    </row>
    <row r="27" spans="2:5" x14ac:dyDescent="0.45">
      <c r="D27" t="s">
        <v>308</v>
      </c>
      <c r="E27" s="6">
        <f>SUM(Table9[Sub-Total])</f>
        <v>71.676000000000002</v>
      </c>
    </row>
    <row r="28" spans="2:5" x14ac:dyDescent="0.45">
      <c r="D28" t="s">
        <v>309</v>
      </c>
      <c r="E28">
        <v>10</v>
      </c>
    </row>
    <row r="29" spans="2:5" x14ac:dyDescent="0.45">
      <c r="D29" t="s">
        <v>310</v>
      </c>
      <c r="E29">
        <v>30</v>
      </c>
    </row>
    <row r="30" spans="2:5" x14ac:dyDescent="0.45">
      <c r="D30" t="s">
        <v>12</v>
      </c>
      <c r="E30" s="6">
        <f>E27-E28+E29</f>
        <v>91.676000000000002</v>
      </c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1EEF04D-7AAA-4EE0-A0DA-58116E9B03B9}">
          <x14:formula1>
            <xm:f>Customers!$A$2:$A$51</xm:f>
          </x14:formula1>
          <xm:sqref>B10</xm:sqref>
        </x14:dataValidation>
        <x14:dataValidation type="list" allowBlank="1" showInputMessage="1" showErrorMessage="1" xr:uid="{381BFCC1-C014-4684-B4FB-0552C78194F4}">
          <x14:formula1>
            <xm:f>Products!$A$2:$A$6</xm:f>
          </x14:formula1>
          <xm:sqref>B18:B25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Jan2025</vt:lpstr>
      <vt:lpstr>Feb2025</vt:lpstr>
      <vt:lpstr>Mar2025</vt:lpstr>
      <vt:lpstr>Apr2025</vt:lpstr>
      <vt:lpstr>Products</vt:lpstr>
      <vt:lpstr>Summary</vt:lpstr>
      <vt:lpstr>Customers</vt:lpstr>
      <vt:lpstr>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Milliken</dc:creator>
  <cp:lastModifiedBy>Dave Milliken</cp:lastModifiedBy>
  <dcterms:created xsi:type="dcterms:W3CDTF">2025-07-29T09:19:03Z</dcterms:created>
  <dcterms:modified xsi:type="dcterms:W3CDTF">2025-08-19T14:35:11Z</dcterms:modified>
</cp:coreProperties>
</file>